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2015" activeTab="0"/>
  </bookViews>
  <sheets>
    <sheet name="SUM" sheetId="1" r:id="rId1"/>
    <sheet name="CO2 Emission" sheetId="2" r:id="rId2"/>
  </sheets>
  <definedNames/>
  <calcPr fullCalcOnLoad="1"/>
</workbook>
</file>

<file path=xl/sharedStrings.xml><?xml version="1.0" encoding="utf-8"?>
<sst xmlns="http://schemas.openxmlformats.org/spreadsheetml/2006/main" count="204" uniqueCount="168">
  <si>
    <t xml:space="preserve"> 2.8  </t>
  </si>
  <si>
    <t>CHICAGO, IL  (ORD)</t>
  </si>
  <si>
    <t xml:space="preserve"> 1.3  </t>
  </si>
  <si>
    <t>LONDON  (LHR)</t>
  </si>
  <si>
    <t xml:space="preserve"> 0.8  </t>
  </si>
  <si>
    <t>TOKYO  (HND)</t>
  </si>
  <si>
    <t xml:space="preserve"> 1.6  </t>
  </si>
  <si>
    <t>LOS ANGELES, CA (LAX)</t>
  </si>
  <si>
    <t>DALLAS/FT WORTH AIRPORT, TX  (DFW)</t>
  </si>
  <si>
    <t xml:space="preserve">( 0.4)  </t>
  </si>
  <si>
    <t>PARIS  (CDG)</t>
  </si>
  <si>
    <t xml:space="preserve"> 5.0  </t>
  </si>
  <si>
    <t>FRANKFURT  (FRA)</t>
  </si>
  <si>
    <t xml:space="preserve"> 2.2  </t>
  </si>
  <si>
    <t>AMSTERDAM  (AMS)</t>
  </si>
  <si>
    <t xml:space="preserve"> 3.8  </t>
  </si>
  <si>
    <t>LAS VEGAS, NV  (LAS)</t>
  </si>
  <si>
    <t xml:space="preserve"> 6.0  </t>
  </si>
  <si>
    <t>DENVER, COLORADO  (DEN)</t>
  </si>
  <si>
    <t xml:space="preserve"> 2.6  </t>
  </si>
  <si>
    <t>MADRID  (MAD)</t>
  </si>
  <si>
    <t xml:space="preserve"> 8.4  </t>
  </si>
  <si>
    <t>NEW YORK, NY  (JFK)</t>
  </si>
  <si>
    <t xml:space="preserve"> 8.9  </t>
  </si>
  <si>
    <t>PHOENIX, ARIZONA  (PHX)</t>
  </si>
  <si>
    <t xml:space="preserve"> 4.3  </t>
  </si>
  <si>
    <t>BEIJING  (PEK)</t>
  </si>
  <si>
    <t xml:space="preserve"> 17.5  </t>
  </si>
  <si>
    <t>HONG KONG, CHINA  (HKG)</t>
  </si>
  <si>
    <t xml:space="preserve"> 9.7  </t>
  </si>
  <si>
    <t>HOUSTON, TX  (IAH)</t>
  </si>
  <si>
    <t xml:space="preserve"> 8.7  </t>
  </si>
  <si>
    <t>BANGKOK  (BKK)</t>
  </si>
  <si>
    <t xml:space="preserve"> 2.7  </t>
  </si>
  <si>
    <t>MINNEAPOLIS/ST PAUL, MN  (MSP)</t>
  </si>
  <si>
    <t xml:space="preserve"> 2.4  </t>
  </si>
  <si>
    <t>DETROIT, MICHIGAN  (DTW)</t>
  </si>
  <si>
    <t xml:space="preserve"> 3.2  </t>
  </si>
  <si>
    <t>ORLANDO, FL  (MCO)</t>
  </si>
  <si>
    <t>NEWARK, NJ  (EWR)</t>
  </si>
  <si>
    <t xml:space="preserve"> 3.3  </t>
  </si>
  <si>
    <t>SAN FRANCISCO, CA  (SFO)</t>
  </si>
  <si>
    <t xml:space="preserve"> 2.0  </t>
  </si>
  <si>
    <t>LONDON  (LGW)</t>
  </si>
  <si>
    <t xml:space="preserve"> 4.2  </t>
  </si>
  <si>
    <t>SINGAPORE  (SIN)</t>
  </si>
  <si>
    <t xml:space="preserve"> 6.8  </t>
  </si>
  <si>
    <t>PHILADELPHIA, PA  (PHL)</t>
  </si>
  <si>
    <t xml:space="preserve"> 10.5  </t>
  </si>
  <si>
    <t>TOKYO  (NRT)</t>
  </si>
  <si>
    <t>MIAMI, FL  (MIA)</t>
  </si>
  <si>
    <t>TORONTO  (YYZ)</t>
  </si>
  <si>
    <t xml:space="preserve"> 4.5  </t>
  </si>
  <si>
    <t>SEATTLE, WA  (SEA)</t>
  </si>
  <si>
    <t xml:space="preserve"> 1.7 </t>
  </si>
  <si>
    <t>http://www.aci.aero/cda/aci/display/main/aci_content.jsp?zn=aci&amp;cp=1-5-54-55-2812_9_2__</t>
  </si>
  <si>
    <t>Rank</t>
  </si>
  <si>
    <t>City (Airport)</t>
  </si>
  <si>
    <t>Total</t>
  </si>
  <si>
    <t>Passengers</t>
  </si>
  <si>
    <t>Passenger Traffic 2005 FINAL</t>
  </si>
  <si>
    <t>TOTAL</t>
  </si>
  <si>
    <t>AMSTERDAM</t>
  </si>
  <si>
    <t>FACTOR</t>
  </si>
  <si>
    <t>€ kerosene</t>
  </si>
  <si>
    <t>ATLANTA, GA (ATL)</t>
  </si>
  <si>
    <t xml:space="preserve"> 2.8</t>
  </si>
  <si>
    <t>Yearly Savings</t>
  </si>
  <si>
    <t>% Change 2004</t>
  </si>
  <si>
    <t>liters kerosene</t>
  </si>
  <si>
    <t xml:space="preserve">Kerosene 0,563 €/ltr (USA, April 2007) </t>
  </si>
  <si>
    <t>Lelystad</t>
  </si>
  <si>
    <t>Planning</t>
  </si>
  <si>
    <t>http://64.233.183.104/search?q=cache:L1C49gmYL2MJ:www.ombudsman.nl/documenten/20020390%25202002.04621.doc+soortelijk+gewicht+Kerosine&amp;hl=nl&amp;ct=clnk&amp;cd=3</t>
  </si>
  <si>
    <t>Referenties:</t>
  </si>
  <si>
    <t>Emission calculation:</t>
  </si>
  <si>
    <r>
      <t xml:space="preserve">Een jumbojet verbruikt   12500 liter </t>
    </r>
    <r>
      <rPr>
        <b/>
        <sz val="10"/>
        <color indexed="8"/>
        <rFont val="Arial"/>
        <family val="2"/>
      </rPr>
      <t>kerosine</t>
    </r>
    <r>
      <rPr>
        <sz val="10"/>
        <rFont val="Arial"/>
        <family val="2"/>
      </rPr>
      <t>/uur</t>
    </r>
  </si>
  <si>
    <r>
      <t>Soortelijk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gewicht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kerosine</t>
    </r>
    <r>
      <rPr>
        <sz val="10"/>
        <rFont val="Arial"/>
        <family val="2"/>
      </rPr>
      <t>  0.950 kg/l</t>
    </r>
  </si>
  <si>
    <r>
      <t xml:space="preserve">Koolstof fractie in </t>
    </r>
    <r>
      <rPr>
        <b/>
        <sz val="10"/>
        <color indexed="8"/>
        <rFont val="Arial"/>
        <family val="2"/>
      </rPr>
      <t>kerosine</t>
    </r>
    <r>
      <rPr>
        <sz val="10"/>
        <rFont val="Arial"/>
        <family val="2"/>
      </rPr>
      <t>  0.9</t>
    </r>
  </si>
  <si>
    <t>Vluchtduur antillen/amsterdam  10 uur heen en terug = 20 uur</t>
  </si>
  <si>
    <t>Aantal bolletje slikkers   10 % van de passagiers</t>
  </si>
  <si>
    <t>=&gt;  20 uur x 12500l/uur x 0.9 x 0.950 kg/l x 3.67 x 365 vluchten/jaar</t>
  </si>
  <si>
    <r>
      <t>= 286328000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/jaar</t>
    </r>
  </si>
  <si>
    <t>Onder het kopje bevindingen:</t>
  </si>
  <si>
    <t>Onze calculatie:</t>
  </si>
  <si>
    <r>
      <t>Soortelijk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gewicht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kerosine</t>
    </r>
    <r>
      <rPr>
        <sz val="10"/>
        <rFont val="Arial"/>
        <family val="2"/>
      </rPr>
      <t>  </t>
    </r>
  </si>
  <si>
    <t>kg/l</t>
  </si>
  <si>
    <r>
      <t xml:space="preserve">Koolstof fractie in </t>
    </r>
    <r>
      <rPr>
        <b/>
        <sz val="10"/>
        <color indexed="8"/>
        <rFont val="Arial"/>
        <family val="2"/>
      </rPr>
      <t>kerosine</t>
    </r>
    <r>
      <rPr>
        <b/>
        <sz val="10"/>
        <rFont val="Arial"/>
        <family val="2"/>
      </rPr>
      <t>  </t>
    </r>
  </si>
  <si>
    <t>kg CO2 / kg C</t>
  </si>
  <si>
    <t>(= 90%)</t>
  </si>
  <si>
    <r>
      <t>Omzetting van koolstof in CO</t>
    </r>
    <r>
      <rPr>
        <b/>
        <vertAlign val="subscript"/>
        <sz val="10"/>
        <rFont val="Arial"/>
        <family val="2"/>
      </rPr>
      <t>2 </t>
    </r>
    <r>
      <rPr>
        <b/>
        <sz val="10"/>
        <rFont val="Arial"/>
        <family val="2"/>
      </rPr>
      <t> 1 kg C =&gt; 44/12</t>
    </r>
  </si>
  <si>
    <t>CO2 uitstoot per liter kerosine: 1 x 0,95 x 0,9 x 3,67</t>
  </si>
  <si>
    <t>kg CO2 / liter verbrande kerosine</t>
  </si>
  <si>
    <t>http://64.233.183.104/search?q=cache:czzLxV71wiwJ:https://www.senter.nl/mmfiles/Brandstoffenlijst_2006_tcm24-217391.pdf+kerosine+co2+emission&amp;hl=nl&amp;ct=clnk&amp;cd=3</t>
  </si>
  <si>
    <t>Op pagina 6:</t>
  </si>
  <si>
    <t>MJ/kg</t>
  </si>
  <si>
    <t>Stookwaarde</t>
  </si>
  <si>
    <t>kg/GJ</t>
  </si>
  <si>
    <t>CO2 EF</t>
  </si>
  <si>
    <r>
      <t>Kerosine</t>
    </r>
    <r>
      <rPr>
        <sz val="10"/>
        <rFont val="Arial"/>
        <family val="2"/>
      </rPr>
      <t xml:space="preserve"> luchtvaart</t>
    </r>
  </si>
  <si>
    <r>
      <t>Omzetting van koolstof in CO</t>
    </r>
    <r>
      <rPr>
        <vertAlign val="subscript"/>
        <sz val="10"/>
        <rFont val="Arial"/>
        <family val="2"/>
      </rPr>
      <t>2 </t>
    </r>
    <r>
      <rPr>
        <sz val="10"/>
        <rFont val="Arial"/>
        <family val="2"/>
      </rPr>
      <t xml:space="preserve"> 1 kg C =&gt; 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/12 = 3.67 kg CO</t>
    </r>
    <r>
      <rPr>
        <vertAlign val="subscript"/>
        <sz val="10"/>
        <rFont val="Arial"/>
        <family val="2"/>
      </rPr>
      <t>2</t>
    </r>
  </si>
  <si>
    <t>Een ton is 1000 kg</t>
  </si>
  <si>
    <t>Ton CO2 / liter verbrande kerosine</t>
  </si>
  <si>
    <t>kton CO2</t>
  </si>
  <si>
    <t>kton CO2 / liter verbrande kerosine (=Mkg  miljoen kg)</t>
  </si>
  <si>
    <t>Van onze eigen website:</t>
  </si>
  <si>
    <t xml:space="preserve">A carbon atom has a weight of 12, and each oxygen atom has a weight of 16, </t>
  </si>
  <si>
    <t>giving each single molecule of CO2 an atomic weight of 44 (12 from carbon and 32 from oxygen).</t>
  </si>
  <si>
    <t>http://www.starrportcorp.com/monitor.html</t>
  </si>
  <si>
    <t>CO2 emissie trading, huidige prijs (24 sep 2007)</t>
  </si>
  <si>
    <t>€ / ton</t>
  </si>
  <si>
    <t>Schiphol</t>
  </si>
  <si>
    <t>CO2 trading value</t>
  </si>
  <si>
    <t>in €, at € 20/ton</t>
  </si>
  <si>
    <t>4.2</t>
  </si>
  <si>
    <t>Volume</t>
  </si>
  <si>
    <t>Year</t>
  </si>
  <si>
    <t>Years</t>
  </si>
  <si>
    <t>Growth %</t>
  </si>
  <si>
    <t xml:space="preserve">Passenger </t>
  </si>
  <si>
    <t>Growth Exsp.%</t>
  </si>
  <si>
    <t>Net Fuel Price</t>
  </si>
  <si>
    <t>(Exsp.)</t>
  </si>
  <si>
    <t>in</t>
  </si>
  <si>
    <t>Price - Eff.Sav.*</t>
  </si>
  <si>
    <t>in % of 2005</t>
  </si>
  <si>
    <t>index</t>
  </si>
  <si>
    <t>Million €</t>
  </si>
  <si>
    <t>Kerosene</t>
  </si>
  <si>
    <t>Starrport Saving</t>
  </si>
  <si>
    <t>Billion</t>
  </si>
  <si>
    <t>Int. Passengers</t>
  </si>
  <si>
    <t>CO2</t>
  </si>
  <si>
    <t>CO2 Savings</t>
  </si>
  <si>
    <t>in Million Tonne</t>
  </si>
  <si>
    <t>in €</t>
  </si>
  <si>
    <t>CO2, at € 20/ton</t>
  </si>
  <si>
    <t>trading value in</t>
  </si>
  <si>
    <t>Price Index</t>
  </si>
  <si>
    <t>as Fuel Price</t>
  </si>
  <si>
    <t>Starrport saving</t>
  </si>
  <si>
    <t>in Billion €</t>
  </si>
  <si>
    <t>from</t>
  </si>
  <si>
    <r>
      <t xml:space="preserve">Global Intrenational Air Traffic </t>
    </r>
    <r>
      <rPr>
        <sz val="12"/>
        <color indexed="18"/>
        <rFont val="Arial"/>
        <family val="2"/>
      </rPr>
      <t>(Equals 2 times the 30 greatest int. airports)</t>
    </r>
  </si>
  <si>
    <t>Price index</t>
  </si>
  <si>
    <t>MioTonne</t>
  </si>
  <si>
    <t>Starrport Saving Kerosene</t>
  </si>
  <si>
    <t>Trading Value</t>
  </si>
  <si>
    <t>Starrport Saving CO2 Emission</t>
  </si>
  <si>
    <t>per Passenger</t>
  </si>
  <si>
    <r>
      <t xml:space="preserve">Global Intrenational Air Traffic Forecast </t>
    </r>
    <r>
      <rPr>
        <sz val="12"/>
        <color indexed="18"/>
        <rFont val="Arial"/>
        <family val="2"/>
      </rPr>
      <t>(Equals 2 times the 30 greatest int. airports) including Cargo.</t>
    </r>
  </si>
  <si>
    <t>Passengers Volume</t>
  </si>
  <si>
    <t>Index in %</t>
  </si>
  <si>
    <t>of 2005</t>
  </si>
  <si>
    <t>Ticket</t>
  </si>
  <si>
    <t>Besparing per landing</t>
  </si>
  <si>
    <t>l</t>
  </si>
  <si>
    <t>CO2 besparing</t>
  </si>
  <si>
    <t>kg</t>
  </si>
  <si>
    <t>Een kiloton is 1.000.000 kg</t>
  </si>
  <si>
    <t>Passagiers per landing AMSTERDAM, 1250 landingen per dag</t>
  </si>
  <si>
    <t>kg / passagier</t>
  </si>
  <si>
    <t xml:space="preserve"> </t>
  </si>
  <si>
    <t>MioTonne*</t>
  </si>
  <si>
    <t>*  MioTonne = Million Tonne</t>
  </si>
  <si>
    <t xml:space="preserve"> kTonne</t>
  </si>
  <si>
    <t>SAVINGS SUM, 43 year till 2050</t>
  </si>
  <si>
    <t>in Million €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</si>
</sst>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0.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21"/>
      <name val="Arial"/>
      <family val="2"/>
    </font>
    <font>
      <b/>
      <sz val="8"/>
      <color indexed="18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60"/>
      <name val="Arial"/>
      <family val="2"/>
    </font>
    <font>
      <sz val="10"/>
      <name val="Times"/>
      <family val="0"/>
    </font>
    <font>
      <b/>
      <sz val="10"/>
      <name val="Times"/>
      <family val="0"/>
    </font>
    <font>
      <b/>
      <sz val="14"/>
      <name val="Arial"/>
      <family val="2"/>
    </font>
    <font>
      <b/>
      <sz val="9"/>
      <color indexed="60"/>
      <name val="Arial"/>
      <family val="2"/>
    </font>
    <font>
      <b/>
      <sz val="10"/>
      <color indexed="63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2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3" fontId="7" fillId="2" borderId="7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0" fillId="0" borderId="0" xfId="0" applyAlignment="1" quotePrefix="1">
      <alignment/>
    </xf>
    <xf numFmtId="0" fontId="9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9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4" xfId="0" applyBorder="1" applyAlignment="1">
      <alignment/>
    </xf>
    <xf numFmtId="3" fontId="11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2" borderId="3" xfId="0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2" borderId="14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8" fillId="2" borderId="0" xfId="0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18" fillId="2" borderId="3" xfId="0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3" fontId="22" fillId="2" borderId="17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4" fillId="2" borderId="1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6" fillId="2" borderId="3" xfId="0" applyFont="1" applyFill="1" applyBorder="1" applyAlignment="1">
      <alignment horizontal="right" vertical="top" wrapText="1"/>
    </xf>
    <xf numFmtId="0" fontId="26" fillId="2" borderId="0" xfId="0" applyFont="1" applyFill="1" applyBorder="1" applyAlignment="1">
      <alignment horizontal="right" vertical="top" wrapText="1"/>
    </xf>
    <xf numFmtId="0" fontId="27" fillId="2" borderId="2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justify" vertical="top" wrapText="1"/>
    </xf>
    <xf numFmtId="0" fontId="27" fillId="2" borderId="22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justify" vertical="top" wrapText="1"/>
    </xf>
    <xf numFmtId="0" fontId="27" fillId="2" borderId="23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justify" vertical="top" wrapText="1"/>
    </xf>
    <xf numFmtId="0" fontId="28" fillId="2" borderId="24" xfId="0" applyFont="1" applyFill="1" applyBorder="1" applyAlignment="1">
      <alignment horizontal="right" vertical="top" wrapText="1"/>
    </xf>
    <xf numFmtId="3" fontId="28" fillId="2" borderId="6" xfId="0" applyNumberFormat="1" applyFont="1" applyFill="1" applyBorder="1" applyAlignment="1">
      <alignment horizontal="right" vertical="top" wrapText="1"/>
    </xf>
    <xf numFmtId="0" fontId="28" fillId="2" borderId="16" xfId="0" applyFont="1" applyFill="1" applyBorder="1" applyAlignment="1">
      <alignment horizontal="right" vertical="top" wrapText="1"/>
    </xf>
    <xf numFmtId="3" fontId="28" fillId="2" borderId="5" xfId="0" applyNumberFormat="1" applyFont="1" applyFill="1" applyBorder="1" applyAlignment="1">
      <alignment vertical="top" wrapText="1"/>
    </xf>
    <xf numFmtId="0" fontId="28" fillId="2" borderId="25" xfId="0" applyFont="1" applyFill="1" applyBorder="1" applyAlignment="1">
      <alignment horizontal="right" vertical="top" wrapText="1"/>
    </xf>
    <xf numFmtId="3" fontId="28" fillId="2" borderId="7" xfId="0" applyNumberFormat="1" applyFont="1" applyFill="1" applyBorder="1" applyAlignment="1">
      <alignment vertical="top" wrapText="1"/>
    </xf>
    <xf numFmtId="169" fontId="29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4" fillId="0" borderId="26" xfId="0" applyFont="1" applyBorder="1" applyAlignment="1">
      <alignment/>
    </xf>
    <xf numFmtId="1" fontId="14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1" fontId="14" fillId="0" borderId="4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right"/>
    </xf>
    <xf numFmtId="0" fontId="14" fillId="0" borderId="27" xfId="0" applyFont="1" applyBorder="1" applyAlignment="1">
      <alignment/>
    </xf>
    <xf numFmtId="0" fontId="14" fillId="0" borderId="4" xfId="0" applyFont="1" applyBorder="1" applyAlignment="1">
      <alignment/>
    </xf>
    <xf numFmtId="0" fontId="0" fillId="0" borderId="27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9" fillId="0" borderId="30" xfId="0" applyFont="1" applyBorder="1" applyAlignment="1">
      <alignment horizontal="right"/>
    </xf>
    <xf numFmtId="170" fontId="9" fillId="0" borderId="30" xfId="0" applyNumberFormat="1" applyFont="1" applyFill="1" applyBorder="1" applyAlignment="1">
      <alignment/>
    </xf>
    <xf numFmtId="0" fontId="35" fillId="0" borderId="3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9" fillId="0" borderId="31" xfId="0" applyFont="1" applyBorder="1" applyAlignment="1">
      <alignment/>
    </xf>
    <xf numFmtId="0" fontId="35" fillId="0" borderId="31" xfId="0" applyFont="1" applyFill="1" applyBorder="1" applyAlignment="1">
      <alignment/>
    </xf>
    <xf numFmtId="0" fontId="34" fillId="0" borderId="1" xfId="0" applyFont="1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7" xfId="0" applyFont="1" applyBorder="1" applyAlignment="1">
      <alignment horizontal="right"/>
    </xf>
    <xf numFmtId="9" fontId="0" fillId="0" borderId="4" xfId="0" applyNumberFormat="1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35" fillId="0" borderId="32" xfId="0" applyFont="1" applyFill="1" applyBorder="1" applyAlignment="1">
      <alignment horizontal="right"/>
    </xf>
    <xf numFmtId="0" fontId="34" fillId="0" borderId="2" xfId="0" applyFont="1" applyFill="1" applyBorder="1" applyAlignment="1">
      <alignment horizontal="right"/>
    </xf>
    <xf numFmtId="170" fontId="9" fillId="0" borderId="33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0" fillId="0" borderId="3" xfId="0" applyNumberFormat="1" applyBorder="1" applyAlignment="1">
      <alignment/>
    </xf>
    <xf numFmtId="170" fontId="9" fillId="0" borderId="3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9" fillId="0" borderId="3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34" xfId="0" applyNumberFormat="1" applyFont="1" applyFill="1" applyBorder="1" applyAlignment="1">
      <alignment/>
    </xf>
    <xf numFmtId="170" fontId="9" fillId="0" borderId="32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29" fillId="0" borderId="4" xfId="0" applyNumberFormat="1" applyFont="1" applyFill="1" applyBorder="1" applyAlignment="1">
      <alignment/>
    </xf>
    <xf numFmtId="0" fontId="14" fillId="0" borderId="35" xfId="0" applyFont="1" applyBorder="1" applyAlignment="1">
      <alignment/>
    </xf>
    <xf numFmtId="0" fontId="14" fillId="0" borderId="13" xfId="0" applyFont="1" applyBorder="1" applyAlignment="1">
      <alignment/>
    </xf>
    <xf numFmtId="170" fontId="9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5" fillId="0" borderId="37" xfId="0" applyNumberFormat="1" applyFont="1" applyFill="1" applyBorder="1" applyAlignment="1">
      <alignment/>
    </xf>
    <xf numFmtId="0" fontId="34" fillId="0" borderId="10" xfId="0" applyFont="1" applyBorder="1" applyAlignment="1">
      <alignment horizontal="right"/>
    </xf>
    <xf numFmtId="0" fontId="14" fillId="2" borderId="8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14" fillId="2" borderId="3" xfId="0" applyFont="1" applyFill="1" applyBorder="1" applyAlignment="1">
      <alignment horizontal="right"/>
    </xf>
    <xf numFmtId="0" fontId="35" fillId="2" borderId="31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9" fillId="2" borderId="3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35" fillId="2" borderId="30" xfId="0" applyFont="1" applyFill="1" applyBorder="1" applyAlignment="1">
      <alignment horizontal="right"/>
    </xf>
    <xf numFmtId="0" fontId="34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9" fillId="2" borderId="32" xfId="0" applyFont="1" applyFill="1" applyBorder="1" applyAlignment="1">
      <alignment horizontal="right"/>
    </xf>
    <xf numFmtId="0" fontId="35" fillId="2" borderId="32" xfId="0" applyFont="1" applyFill="1" applyBorder="1" applyAlignment="1">
      <alignment horizontal="right"/>
    </xf>
    <xf numFmtId="0" fontId="34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170" fontId="30" fillId="0" borderId="36" xfId="0" applyNumberFormat="1" applyFont="1" applyFill="1" applyBorder="1" applyAlignment="1">
      <alignment/>
    </xf>
    <xf numFmtId="3" fontId="38" fillId="0" borderId="37" xfId="0" applyNumberFormat="1" applyFont="1" applyFill="1" applyBorder="1" applyAlignment="1">
      <alignment/>
    </xf>
    <xf numFmtId="170" fontId="30" fillId="0" borderId="39" xfId="0" applyNumberFormat="1" applyFont="1" applyFill="1" applyBorder="1" applyAlignment="1">
      <alignment/>
    </xf>
    <xf numFmtId="3" fontId="38" fillId="0" borderId="40" xfId="0" applyNumberFormat="1" applyFont="1" applyFill="1" applyBorder="1" applyAlignment="1">
      <alignment/>
    </xf>
    <xf numFmtId="3" fontId="37" fillId="0" borderId="36" xfId="0" applyNumberFormat="1" applyFont="1" applyFill="1" applyBorder="1" applyAlignment="1">
      <alignment/>
    </xf>
    <xf numFmtId="170" fontId="30" fillId="0" borderId="33" xfId="0" applyNumberFormat="1" applyFont="1" applyFill="1" applyBorder="1" applyAlignment="1">
      <alignment/>
    </xf>
    <xf numFmtId="3" fontId="38" fillId="0" borderId="34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/>
    </xf>
    <xf numFmtId="0" fontId="9" fillId="2" borderId="15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35" fillId="2" borderId="4" xfId="0" applyFont="1" applyFill="1" applyBorder="1" applyAlignment="1">
      <alignment horizontal="right"/>
    </xf>
    <xf numFmtId="2" fontId="37" fillId="0" borderId="39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37" fillId="0" borderId="36" xfId="0" applyNumberFormat="1" applyFont="1" applyFill="1" applyBorder="1" applyAlignment="1">
      <alignment/>
    </xf>
    <xf numFmtId="2" fontId="37" fillId="0" borderId="33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39" fillId="2" borderId="28" xfId="0" applyFont="1" applyFill="1" applyBorder="1" applyAlignment="1">
      <alignment horizontal="right"/>
    </xf>
    <xf numFmtId="9" fontId="39" fillId="2" borderId="17" xfId="0" applyNumberFormat="1" applyFont="1" applyFill="1" applyBorder="1" applyAlignment="1">
      <alignment horizontal="right"/>
    </xf>
    <xf numFmtId="1" fontId="39" fillId="0" borderId="24" xfId="0" applyNumberFormat="1" applyFont="1" applyBorder="1" applyAlignment="1">
      <alignment/>
    </xf>
    <xf numFmtId="1" fontId="39" fillId="0" borderId="29" xfId="0" applyNumberFormat="1" applyFont="1" applyBorder="1" applyAlignment="1">
      <alignment/>
    </xf>
    <xf numFmtId="1" fontId="39" fillId="0" borderId="25" xfId="0" applyNumberFormat="1" applyFont="1" applyBorder="1" applyAlignment="1">
      <alignment/>
    </xf>
    <xf numFmtId="1" fontId="40" fillId="0" borderId="25" xfId="0" applyNumberFormat="1" applyFont="1" applyBorder="1" applyAlignment="1">
      <alignment/>
    </xf>
    <xf numFmtId="1" fontId="39" fillId="0" borderId="17" xfId="0" applyNumberFormat="1" applyFont="1" applyBorder="1" applyAlignment="1">
      <alignment/>
    </xf>
    <xf numFmtId="0" fontId="39" fillId="2" borderId="0" xfId="0" applyFont="1" applyFill="1" applyBorder="1" applyAlignment="1">
      <alignment horizontal="right"/>
    </xf>
    <xf numFmtId="9" fontId="39" fillId="2" borderId="4" xfId="0" applyNumberFormat="1" applyFont="1" applyFill="1" applyBorder="1" applyAlignment="1">
      <alignment horizontal="right"/>
    </xf>
    <xf numFmtId="0" fontId="39" fillId="0" borderId="14" xfId="0" applyFont="1" applyBorder="1" applyAlignment="1">
      <alignment/>
    </xf>
    <xf numFmtId="1" fontId="39" fillId="0" borderId="27" xfId="0" applyNumberFormat="1" applyFont="1" applyBorder="1" applyAlignment="1">
      <alignment/>
    </xf>
    <xf numFmtId="1" fontId="39" fillId="0" borderId="13" xfId="0" applyNumberFormat="1" applyFont="1" applyBorder="1" applyAlignment="1">
      <alignment/>
    </xf>
    <xf numFmtId="1" fontId="40" fillId="0" borderId="13" xfId="0" applyNumberFormat="1" applyFont="1" applyBorder="1" applyAlignment="1">
      <alignment/>
    </xf>
    <xf numFmtId="1" fontId="39" fillId="0" borderId="4" xfId="0" applyNumberFormat="1" applyFont="1" applyBorder="1" applyAlignment="1">
      <alignment/>
    </xf>
    <xf numFmtId="0" fontId="39" fillId="2" borderId="4" xfId="0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42" fillId="0" borderId="27" xfId="0" applyNumberFormat="1" applyFont="1" applyFill="1" applyBorder="1" applyAlignment="1">
      <alignment/>
    </xf>
    <xf numFmtId="3" fontId="42" fillId="0" borderId="4" xfId="0" applyNumberFormat="1" applyFont="1" applyFill="1" applyBorder="1" applyAlignment="1">
      <alignment/>
    </xf>
    <xf numFmtId="0" fontId="35" fillId="2" borderId="3" xfId="0" applyFont="1" applyFill="1" applyBorder="1" applyAlignment="1">
      <alignment/>
    </xf>
    <xf numFmtId="3" fontId="37" fillId="0" borderId="14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3" fontId="37" fillId="0" borderId="27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36" fillId="2" borderId="3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right"/>
    </xf>
    <xf numFmtId="0" fontId="43" fillId="2" borderId="4" xfId="0" applyFont="1" applyFill="1" applyBorder="1" applyAlignment="1">
      <alignment horizontal="right"/>
    </xf>
    <xf numFmtId="3" fontId="44" fillId="0" borderId="24" xfId="0" applyNumberFormat="1" applyFont="1" applyFill="1" applyBorder="1" applyAlignment="1">
      <alignment/>
    </xf>
    <xf numFmtId="3" fontId="45" fillId="0" borderId="27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3" fontId="44" fillId="0" borderId="27" xfId="0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/>
    </xf>
    <xf numFmtId="3" fontId="45" fillId="0" borderId="4" xfId="0" applyNumberFormat="1" applyFont="1" applyFill="1" applyBorder="1" applyAlignment="1">
      <alignment/>
    </xf>
    <xf numFmtId="0" fontId="3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right"/>
    </xf>
    <xf numFmtId="0" fontId="1" fillId="2" borderId="0" xfId="20" applyFill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/>
    </xf>
    <xf numFmtId="0" fontId="0" fillId="0" borderId="9" xfId="0" applyFill="1" applyBorder="1" applyAlignment="1">
      <alignment/>
    </xf>
    <xf numFmtId="170" fontId="0" fillId="0" borderId="0" xfId="0" applyNumberFormat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7" fillId="0" borderId="14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43" fillId="0" borderId="3" xfId="0" applyFont="1" applyFill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4" xfId="0" applyFont="1" applyBorder="1" applyAlignment="1">
      <alignment horizontal="right"/>
    </xf>
    <xf numFmtId="3" fontId="45" fillId="0" borderId="15" xfId="0" applyNumberFormat="1" applyFont="1" applyFill="1" applyBorder="1" applyAlignment="1">
      <alignment/>
    </xf>
    <xf numFmtId="3" fontId="45" fillId="0" borderId="28" xfId="0" applyNumberFormat="1" applyFont="1" applyFill="1" applyBorder="1" applyAlignment="1">
      <alignment/>
    </xf>
    <xf numFmtId="3" fontId="45" fillId="0" borderId="29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14" fillId="3" borderId="41" xfId="0" applyFont="1" applyFill="1" applyBorder="1" applyAlignment="1">
      <alignment/>
    </xf>
    <xf numFmtId="0" fontId="0" fillId="3" borderId="42" xfId="0" applyFill="1" applyBorder="1" applyAlignment="1">
      <alignment/>
    </xf>
    <xf numFmtId="3" fontId="35" fillId="3" borderId="42" xfId="0" applyNumberFormat="1" applyFont="1" applyFill="1" applyBorder="1" applyAlignment="1">
      <alignment/>
    </xf>
    <xf numFmtId="0" fontId="14" fillId="3" borderId="42" xfId="0" applyFont="1" applyFill="1" applyBorder="1" applyAlignment="1">
      <alignment/>
    </xf>
    <xf numFmtId="3" fontId="43" fillId="3" borderId="42" xfId="0" applyNumberFormat="1" applyFont="1" applyFill="1" applyBorder="1" applyAlignment="1">
      <alignment/>
    </xf>
    <xf numFmtId="3" fontId="34" fillId="3" borderId="43" xfId="0" applyNumberFormat="1" applyFont="1" applyFill="1" applyBorder="1" applyAlignment="1">
      <alignment/>
    </xf>
    <xf numFmtId="0" fontId="14" fillId="3" borderId="44" xfId="0" applyFont="1" applyFill="1" applyBorder="1" applyAlignment="1">
      <alignment/>
    </xf>
    <xf numFmtId="170" fontId="9" fillId="3" borderId="45" xfId="0" applyNumberFormat="1" applyFont="1" applyFill="1" applyBorder="1" applyAlignment="1">
      <alignment/>
    </xf>
    <xf numFmtId="0" fontId="35" fillId="0" borderId="3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4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6" fillId="2" borderId="8" xfId="0" applyFont="1" applyFill="1" applyBorder="1" applyAlignment="1">
      <alignment horizontal="justify" vertical="top" wrapText="1"/>
    </xf>
    <xf numFmtId="0" fontId="26" fillId="2" borderId="9" xfId="0" applyFont="1" applyFill="1" applyBorder="1" applyAlignment="1">
      <alignment horizontal="justify" vertical="top" wrapText="1"/>
    </xf>
    <xf numFmtId="0" fontId="26" fillId="2" borderId="3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horizontal="justify" vertical="top" wrapText="1"/>
    </xf>
    <xf numFmtId="0" fontId="26" fillId="2" borderId="3" xfId="0" applyFont="1" applyFill="1" applyBorder="1" applyAlignment="1">
      <alignment horizontal="right" vertical="top" wrapText="1"/>
    </xf>
    <xf numFmtId="0" fontId="26" fillId="2" borderId="0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.aero/cda/aci/display/main/aci_content.jsp?zn=aci&amp;cp=1-5-54-55-2812_9_2__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64.233.183.104/search?q=cache:L1C49gmYL2MJ:www.ombudsman.nl/documenten/20020390%25202002.04621.doc+soortelijk+gewicht+Kerosine&amp;hl=nl&amp;ct=clnk&amp;cd=3" TargetMode="External" /><Relationship Id="rId2" Type="http://schemas.openxmlformats.org/officeDocument/2006/relationships/hyperlink" Target="http://64.233.183.104/search?q=cache:czzLxV71wiwJ:https://www.senter.nl/mmfiles/Brandstoffenlijst_2006_tcm24-217391.pdf+kerosine+co2+emission&amp;hl=nl&amp;ct=clnk&amp;cd=3" TargetMode="External" /><Relationship Id="rId3" Type="http://schemas.openxmlformats.org/officeDocument/2006/relationships/hyperlink" Target="http://www.starrportcorp.com/monitor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tabSelected="1" workbookViewId="0" topLeftCell="A1">
      <selection activeCell="C39" sqref="C39"/>
    </sheetView>
  </sheetViews>
  <sheetFormatPr defaultColWidth="9.140625" defaultRowHeight="12.75"/>
  <cols>
    <col min="2" max="2" width="5.57421875" style="0" customWidth="1"/>
    <col min="3" max="3" width="31.57421875" style="0" customWidth="1"/>
    <col min="4" max="4" width="8.421875" style="0" customWidth="1"/>
    <col min="5" max="5" width="12.57421875" style="1" customWidth="1"/>
    <col min="6" max="6" width="15.28125" style="1" customWidth="1"/>
    <col min="7" max="7" width="13.00390625" style="0" customWidth="1"/>
    <col min="8" max="8" width="12.8515625" style="0" customWidth="1"/>
    <col min="9" max="9" width="15.28125" style="0" customWidth="1"/>
    <col min="10" max="10" width="12.8515625" style="0" customWidth="1"/>
    <col min="11" max="11" width="8.8515625" style="0" customWidth="1"/>
    <col min="13" max="13" width="11.421875" style="0" customWidth="1"/>
    <col min="14" max="14" width="12.140625" style="0" customWidth="1"/>
    <col min="15" max="15" width="15.28125" style="0" customWidth="1"/>
    <col min="16" max="16" width="15.8515625" style="0" customWidth="1"/>
    <col min="17" max="17" width="15.57421875" style="0" customWidth="1"/>
    <col min="18" max="18" width="18.57421875" style="0" customWidth="1"/>
    <col min="19" max="19" width="15.8515625" style="0" customWidth="1"/>
    <col min="20" max="21" width="13.140625" style="0" customWidth="1"/>
    <col min="22" max="22" width="15.00390625" style="0" customWidth="1"/>
  </cols>
  <sheetData>
    <row r="1" ht="12.75">
      <c r="B1" s="3" t="s">
        <v>55</v>
      </c>
    </row>
    <row r="2" spans="2:12" ht="15.75">
      <c r="B2" s="235" t="s">
        <v>60</v>
      </c>
      <c r="C2" s="234"/>
      <c r="D2" s="234"/>
      <c r="E2" s="236"/>
      <c r="F2" s="236"/>
      <c r="G2" s="237" t="s">
        <v>70</v>
      </c>
      <c r="H2" s="237"/>
      <c r="I2" s="237"/>
      <c r="K2" s="110" t="s">
        <v>143</v>
      </c>
      <c r="L2" s="69"/>
    </row>
    <row r="3" spans="2:12" ht="13.5" thickBot="1">
      <c r="B3" s="238"/>
      <c r="C3" s="234"/>
      <c r="D3" s="234"/>
      <c r="E3" s="236"/>
      <c r="F3" s="236"/>
      <c r="G3" s="239"/>
      <c r="H3" s="240"/>
      <c r="I3" s="239"/>
      <c r="J3" s="67"/>
      <c r="L3" s="69"/>
    </row>
    <row r="4" spans="2:22" ht="12.75">
      <c r="B4" s="268" t="s">
        <v>56</v>
      </c>
      <c r="C4" s="270" t="s">
        <v>57</v>
      </c>
      <c r="D4" s="272" t="s">
        <v>68</v>
      </c>
      <c r="E4" s="70" t="s">
        <v>58</v>
      </c>
      <c r="F4" s="9" t="s">
        <v>67</v>
      </c>
      <c r="G4" s="44" t="s">
        <v>67</v>
      </c>
      <c r="H4" s="55" t="s">
        <v>67</v>
      </c>
      <c r="I4" s="64" t="s">
        <v>112</v>
      </c>
      <c r="J4" s="68"/>
      <c r="K4" s="104" t="s">
        <v>117</v>
      </c>
      <c r="L4" s="105" t="s">
        <v>116</v>
      </c>
      <c r="M4" s="119" t="s">
        <v>119</v>
      </c>
      <c r="N4" s="106" t="s">
        <v>119</v>
      </c>
      <c r="O4" s="120" t="s">
        <v>131</v>
      </c>
      <c r="P4" s="263" t="s">
        <v>129</v>
      </c>
      <c r="Q4" s="106" t="s">
        <v>121</v>
      </c>
      <c r="R4" s="106" t="s">
        <v>121</v>
      </c>
      <c r="S4" s="121" t="s">
        <v>140</v>
      </c>
      <c r="T4" s="248" t="s">
        <v>133</v>
      </c>
      <c r="U4" s="248" t="s">
        <v>132</v>
      </c>
      <c r="V4" s="122" t="s">
        <v>136</v>
      </c>
    </row>
    <row r="5" spans="2:22" ht="13.5" thickBot="1">
      <c r="B5" s="269"/>
      <c r="C5" s="271"/>
      <c r="D5" s="273"/>
      <c r="E5" s="71" t="s">
        <v>59</v>
      </c>
      <c r="F5" s="60" t="s">
        <v>69</v>
      </c>
      <c r="G5" s="37" t="s">
        <v>64</v>
      </c>
      <c r="H5" s="53" t="s">
        <v>103</v>
      </c>
      <c r="I5" s="65" t="s">
        <v>113</v>
      </c>
      <c r="J5" s="68"/>
      <c r="K5" s="123" t="s">
        <v>142</v>
      </c>
      <c r="L5" s="111"/>
      <c r="M5" s="118" t="s">
        <v>122</v>
      </c>
      <c r="N5" s="103" t="s">
        <v>115</v>
      </c>
      <c r="O5" s="115" t="s">
        <v>123</v>
      </c>
      <c r="P5" s="264" t="s">
        <v>128</v>
      </c>
      <c r="Q5" s="113" t="s">
        <v>124</v>
      </c>
      <c r="R5" s="103" t="s">
        <v>126</v>
      </c>
      <c r="S5" s="117" t="s">
        <v>128</v>
      </c>
      <c r="T5" s="249" t="s">
        <v>123</v>
      </c>
      <c r="U5" s="113" t="s">
        <v>138</v>
      </c>
      <c r="V5" s="153" t="s">
        <v>137</v>
      </c>
    </row>
    <row r="6" spans="2:22" ht="12.75" customHeight="1" thickBot="1">
      <c r="B6" s="72">
        <v>1</v>
      </c>
      <c r="C6" s="73" t="s">
        <v>65</v>
      </c>
      <c r="D6" s="78" t="s">
        <v>66</v>
      </c>
      <c r="E6" s="79">
        <v>85907423</v>
      </c>
      <c r="F6" s="12">
        <v>3109605351.0887413</v>
      </c>
      <c r="G6" s="51">
        <v>1750707812.6629612</v>
      </c>
      <c r="H6" s="56">
        <v>9757.475150913808</v>
      </c>
      <c r="I6" s="61">
        <f>10*19514950.3018276</f>
        <v>195149503.01827598</v>
      </c>
      <c r="J6" s="54">
        <f>H6*1000*20</f>
        <v>195149503.01827615</v>
      </c>
      <c r="K6" s="124">
        <v>2005</v>
      </c>
      <c r="L6" s="125"/>
      <c r="M6" s="126" t="s">
        <v>118</v>
      </c>
      <c r="N6" s="127" t="s">
        <v>125</v>
      </c>
      <c r="O6" s="128" t="s">
        <v>130</v>
      </c>
      <c r="P6" s="265" t="s">
        <v>134</v>
      </c>
      <c r="Q6" s="129" t="s">
        <v>120</v>
      </c>
      <c r="R6" s="127" t="s">
        <v>125</v>
      </c>
      <c r="S6" s="130" t="s">
        <v>141</v>
      </c>
      <c r="T6" s="250" t="s">
        <v>165</v>
      </c>
      <c r="U6" s="129" t="s">
        <v>139</v>
      </c>
      <c r="V6" s="131" t="s">
        <v>127</v>
      </c>
    </row>
    <row r="7" spans="2:22" ht="12.75" customHeight="1">
      <c r="B7" s="74">
        <v>2</v>
      </c>
      <c r="C7" s="75" t="s">
        <v>1</v>
      </c>
      <c r="D7" s="80" t="s">
        <v>2</v>
      </c>
      <c r="E7" s="81">
        <v>76510003</v>
      </c>
      <c r="F7" s="11">
        <v>2769445368.4242826</v>
      </c>
      <c r="G7" s="45">
        <v>1559197742.4228709</v>
      </c>
      <c r="H7" s="57">
        <v>8690.104149310135</v>
      </c>
      <c r="I7" s="62">
        <f>10*17380208.2986203</f>
        <v>173802082.98620299</v>
      </c>
      <c r="J7" s="54"/>
      <c r="K7" s="87">
        <v>0</v>
      </c>
      <c r="L7" s="18">
        <v>2005</v>
      </c>
      <c r="M7" s="136">
        <v>4.2</v>
      </c>
      <c r="N7" s="137">
        <v>100</v>
      </c>
      <c r="O7" s="138">
        <f>1.330119621*2*N7%</f>
        <v>2.660239242</v>
      </c>
      <c r="P7" s="266">
        <f>48146562271.455*2/1000/1000000*N7%</f>
        <v>96.29312454291001</v>
      </c>
      <c r="Q7" s="139">
        <v>2.5</v>
      </c>
      <c r="R7" s="18">
        <v>100</v>
      </c>
      <c r="S7" s="243">
        <f>27106514558.8292*2/1000000000*R7%*N7%</f>
        <v>54.2130291176584</v>
      </c>
      <c r="T7" s="251">
        <f>151076.690423485*2*N7%</f>
        <v>302153.38084697</v>
      </c>
      <c r="U7" s="140">
        <f>R7/1.05</f>
        <v>95.23809523809524</v>
      </c>
      <c r="V7" s="141">
        <f>T7/1000*2*U7%</f>
        <v>575.530249232324</v>
      </c>
    </row>
    <row r="8" spans="2:22" ht="12.75" customHeight="1">
      <c r="B8" s="74">
        <v>3</v>
      </c>
      <c r="C8" s="75" t="s">
        <v>3</v>
      </c>
      <c r="D8" s="80" t="s">
        <v>4</v>
      </c>
      <c r="E8" s="81">
        <v>67915403</v>
      </c>
      <c r="F8" s="11">
        <v>2458345195.503634</v>
      </c>
      <c r="G8" s="45">
        <v>1384048345.0685458</v>
      </c>
      <c r="H8" s="57">
        <v>7713.9184717110775</v>
      </c>
      <c r="I8" s="62">
        <f>10*15427836.9434222</f>
        <v>154278369.434222</v>
      </c>
      <c r="J8" s="54"/>
      <c r="K8" s="21">
        <v>1</v>
      </c>
      <c r="L8" s="5">
        <v>2006</v>
      </c>
      <c r="M8" s="93">
        <v>4.2</v>
      </c>
      <c r="N8" s="88">
        <f aca="true" t="shared" si="0" ref="N8:N52">N7*(1+M7/100)</f>
        <v>104.2</v>
      </c>
      <c r="O8" s="116">
        <f aca="true" t="shared" si="1" ref="O8:O52">1.330119621*2*N8%</f>
        <v>2.771969290164</v>
      </c>
      <c r="P8" s="267">
        <f aca="true" t="shared" si="2" ref="P8:P52">48146562271.455*2/1000/1000000*N8%</f>
        <v>100.33743577371223</v>
      </c>
      <c r="Q8" s="67">
        <v>2.5</v>
      </c>
      <c r="R8" s="88">
        <f>R7*(1+Q7/100)</f>
        <v>102.49999999999999</v>
      </c>
      <c r="S8" s="97">
        <f aca="true" t="shared" si="3" ref="S8:S52">27106514558.8292*2/1000000000*R8%*N8%</f>
        <v>57.902225749115054</v>
      </c>
      <c r="T8" s="252">
        <f aca="true" t="shared" si="4" ref="T8:T52">151076.690423485*2*N8%</f>
        <v>314843.8228425428</v>
      </c>
      <c r="U8" s="112">
        <f aca="true" t="shared" si="5" ref="U8:U52">R8/1.05</f>
        <v>97.6190476190476</v>
      </c>
      <c r="V8" s="142">
        <f aca="true" t="shared" si="6" ref="V8:V52">T8/1000*2*U8%</f>
        <v>614.6950826925835</v>
      </c>
    </row>
    <row r="9" spans="2:22" ht="12.75" customHeight="1">
      <c r="B9" s="74">
        <v>4</v>
      </c>
      <c r="C9" s="75" t="s">
        <v>5</v>
      </c>
      <c r="D9" s="80" t="s">
        <v>6</v>
      </c>
      <c r="E9" s="81">
        <v>63282219</v>
      </c>
      <c r="F9" s="11">
        <v>2290637059.747091</v>
      </c>
      <c r="G9" s="45">
        <v>1289628664.637612</v>
      </c>
      <c r="H9" s="57">
        <v>7187.675497927408</v>
      </c>
      <c r="I9" s="62">
        <f>10*14375350.9958548</f>
        <v>143753509.958548</v>
      </c>
      <c r="J9" s="54"/>
      <c r="K9" s="21">
        <v>2</v>
      </c>
      <c r="L9" s="5">
        <v>2007</v>
      </c>
      <c r="M9" s="93">
        <v>4</v>
      </c>
      <c r="N9" s="88">
        <f t="shared" si="0"/>
        <v>108.5764</v>
      </c>
      <c r="O9" s="116">
        <f t="shared" si="1"/>
        <v>2.8883920003508883</v>
      </c>
      <c r="P9" s="267">
        <f t="shared" si="2"/>
        <v>104.55160807620815</v>
      </c>
      <c r="Q9" s="67">
        <v>2.5</v>
      </c>
      <c r="R9" s="88">
        <f aca="true" t="shared" si="7" ref="R9:R52">R8*(1+Q8/100)</f>
        <v>105.06249999999997</v>
      </c>
      <c r="S9" s="97">
        <f t="shared" si="3"/>
        <v>61.842472211342326</v>
      </c>
      <c r="T9" s="252">
        <f t="shared" si="4"/>
        <v>328067.2634019296</v>
      </c>
      <c r="U9" s="112">
        <f t="shared" si="5"/>
        <v>100.05952380952378</v>
      </c>
      <c r="V9" s="142">
        <f t="shared" si="6"/>
        <v>656.5250830698137</v>
      </c>
    </row>
    <row r="10" spans="2:22" ht="12.75" customHeight="1">
      <c r="B10" s="74">
        <v>5</v>
      </c>
      <c r="C10" s="75" t="s">
        <v>7</v>
      </c>
      <c r="D10" s="80" t="s">
        <v>2</v>
      </c>
      <c r="E10" s="81">
        <v>61489398</v>
      </c>
      <c r="F10" s="11">
        <v>2225742018.3122635</v>
      </c>
      <c r="G10" s="45">
        <v>1253092756.3098042</v>
      </c>
      <c r="H10" s="57">
        <v>6984.044592161135</v>
      </c>
      <c r="I10" s="62">
        <f>10*13968089.1843223</f>
        <v>139680891.843223</v>
      </c>
      <c r="J10" s="54"/>
      <c r="K10" s="21">
        <v>3</v>
      </c>
      <c r="L10" s="5">
        <v>2008</v>
      </c>
      <c r="M10" s="93">
        <v>4</v>
      </c>
      <c r="N10" s="88">
        <f t="shared" si="0"/>
        <v>112.91945600000001</v>
      </c>
      <c r="O10" s="116">
        <f t="shared" si="1"/>
        <v>3.003927680364924</v>
      </c>
      <c r="P10" s="267">
        <f t="shared" si="2"/>
        <v>108.73367239925649</v>
      </c>
      <c r="Q10" s="67">
        <v>2.5</v>
      </c>
      <c r="R10" s="88">
        <f t="shared" si="7"/>
        <v>107.68906249999996</v>
      </c>
      <c r="S10" s="97">
        <f t="shared" si="3"/>
        <v>65.92407537729092</v>
      </c>
      <c r="T10" s="252">
        <f t="shared" si="4"/>
        <v>341189.9539380068</v>
      </c>
      <c r="U10" s="112">
        <f t="shared" si="5"/>
        <v>102.56101190476187</v>
      </c>
      <c r="V10" s="142">
        <f t="shared" si="6"/>
        <v>699.8557385524215</v>
      </c>
    </row>
    <row r="11" spans="2:22" ht="12.75" customHeight="1">
      <c r="B11" s="74">
        <v>6</v>
      </c>
      <c r="C11" s="75" t="s">
        <v>8</v>
      </c>
      <c r="D11" s="80" t="s">
        <v>9</v>
      </c>
      <c r="E11" s="81">
        <v>59176265</v>
      </c>
      <c r="F11" s="11">
        <v>2142013156.4352171</v>
      </c>
      <c r="G11" s="45">
        <v>1205953407.0730271</v>
      </c>
      <c r="H11" s="57">
        <v>6721.315982920246</v>
      </c>
      <c r="I11" s="62">
        <f>10*13442631.9658405</f>
        <v>134426319.658405</v>
      </c>
      <c r="J11" s="54"/>
      <c r="K11" s="21">
        <v>4</v>
      </c>
      <c r="L11" s="5">
        <v>2009</v>
      </c>
      <c r="M11" s="93">
        <v>3</v>
      </c>
      <c r="N11" s="88">
        <f t="shared" si="0"/>
        <v>117.43623424000002</v>
      </c>
      <c r="O11" s="116">
        <f t="shared" si="1"/>
        <v>3.124084787579521</v>
      </c>
      <c r="P11" s="267">
        <f t="shared" si="2"/>
        <v>113.08301929522675</v>
      </c>
      <c r="Q11" s="67">
        <v>2.5</v>
      </c>
      <c r="R11" s="88">
        <f t="shared" si="7"/>
        <v>110.38128906249996</v>
      </c>
      <c r="S11" s="97">
        <f t="shared" si="3"/>
        <v>70.27506435219212</v>
      </c>
      <c r="T11" s="252">
        <f t="shared" si="4"/>
        <v>354837.55209552706</v>
      </c>
      <c r="U11" s="112">
        <f t="shared" si="5"/>
        <v>105.12503720238091</v>
      </c>
      <c r="V11" s="142">
        <f t="shared" si="6"/>
        <v>746.0462172968812</v>
      </c>
    </row>
    <row r="12" spans="2:22" ht="12.75" customHeight="1">
      <c r="B12" s="74">
        <v>7</v>
      </c>
      <c r="C12" s="75" t="s">
        <v>10</v>
      </c>
      <c r="D12" s="80" t="s">
        <v>11</v>
      </c>
      <c r="E12" s="81">
        <v>53798308</v>
      </c>
      <c r="F12" s="11">
        <v>1947346347.8973203</v>
      </c>
      <c r="G12" s="45">
        <v>1096355993.8661911</v>
      </c>
      <c r="H12" s="57">
        <v>6110.480737749606</v>
      </c>
      <c r="I12" s="62">
        <f>10*12220961.4754992</f>
        <v>122209614.754992</v>
      </c>
      <c r="J12" s="54"/>
      <c r="K12" s="90">
        <v>5</v>
      </c>
      <c r="L12" s="91">
        <v>2010</v>
      </c>
      <c r="M12" s="94">
        <v>3</v>
      </c>
      <c r="N12" s="92">
        <f t="shared" si="0"/>
        <v>120.95932126720002</v>
      </c>
      <c r="O12" s="132">
        <f t="shared" si="1"/>
        <v>3.2178073312069064</v>
      </c>
      <c r="P12" s="218">
        <f t="shared" si="2"/>
        <v>116.47550987408354</v>
      </c>
      <c r="Q12" s="133">
        <v>2.5</v>
      </c>
      <c r="R12" s="92">
        <f t="shared" si="7"/>
        <v>113.14082128906244</v>
      </c>
      <c r="S12" s="244">
        <f t="shared" si="3"/>
        <v>74.19289918982682</v>
      </c>
      <c r="T12" s="253">
        <f t="shared" si="4"/>
        <v>365482.67865839286</v>
      </c>
      <c r="U12" s="134">
        <f t="shared" si="5"/>
        <v>107.75316313244042</v>
      </c>
      <c r="V12" s="143">
        <f t="shared" si="6"/>
        <v>787.638293911182</v>
      </c>
    </row>
    <row r="13" spans="2:22" ht="12.75" customHeight="1">
      <c r="B13" s="74">
        <v>8</v>
      </c>
      <c r="C13" s="75" t="s">
        <v>12</v>
      </c>
      <c r="D13" s="80" t="s">
        <v>13</v>
      </c>
      <c r="E13" s="81">
        <v>52219412</v>
      </c>
      <c r="F13" s="11">
        <v>1890194785.4483733</v>
      </c>
      <c r="G13" s="45">
        <v>1064179664.207434</v>
      </c>
      <c r="H13" s="57">
        <v>5931.147707519178</v>
      </c>
      <c r="I13" s="62">
        <f>10*11862295.4150384</f>
        <v>118622954.150384</v>
      </c>
      <c r="J13" s="54"/>
      <c r="K13" s="21">
        <v>6</v>
      </c>
      <c r="L13" s="5">
        <v>2011</v>
      </c>
      <c r="M13" s="93">
        <v>3</v>
      </c>
      <c r="N13" s="88">
        <f t="shared" si="0"/>
        <v>124.58810090521602</v>
      </c>
      <c r="O13" s="116">
        <f t="shared" si="1"/>
        <v>3.3143415511431136</v>
      </c>
      <c r="P13" s="267">
        <f t="shared" si="2"/>
        <v>119.96977517030605</v>
      </c>
      <c r="Q13" s="67">
        <v>2.5</v>
      </c>
      <c r="R13" s="88">
        <f t="shared" si="7"/>
        <v>115.96934182128899</v>
      </c>
      <c r="S13" s="97">
        <f t="shared" si="3"/>
        <v>78.32915331965965</v>
      </c>
      <c r="T13" s="252">
        <f t="shared" si="4"/>
        <v>376447.15901814465</v>
      </c>
      <c r="U13" s="112">
        <f t="shared" si="5"/>
        <v>110.44699221075142</v>
      </c>
      <c r="V13" s="142">
        <f t="shared" si="6"/>
        <v>831.5491287967305</v>
      </c>
    </row>
    <row r="14" spans="2:22" ht="12.75" customHeight="1">
      <c r="B14" s="74">
        <v>9</v>
      </c>
      <c r="C14" s="75" t="s">
        <v>14</v>
      </c>
      <c r="D14" s="80" t="s">
        <v>15</v>
      </c>
      <c r="E14" s="81">
        <v>44163098</v>
      </c>
      <c r="F14" s="11">
        <v>1598579040.8525755</v>
      </c>
      <c r="G14" s="45">
        <v>900000000</v>
      </c>
      <c r="H14" s="57">
        <v>5016.101243339253</v>
      </c>
      <c r="I14" s="62">
        <f>10*10032202.4866785</f>
        <v>100322024.86678499</v>
      </c>
      <c r="J14" s="54"/>
      <c r="K14" s="21">
        <v>7</v>
      </c>
      <c r="L14" s="5">
        <v>2012</v>
      </c>
      <c r="M14" s="93">
        <v>3</v>
      </c>
      <c r="N14" s="88">
        <f t="shared" si="0"/>
        <v>128.32574393237252</v>
      </c>
      <c r="O14" s="116">
        <f t="shared" si="1"/>
        <v>3.413771797677408</v>
      </c>
      <c r="P14" s="267">
        <f t="shared" si="2"/>
        <v>123.56886842541526</v>
      </c>
      <c r="Q14" s="67">
        <v>2.5</v>
      </c>
      <c r="R14" s="88">
        <f t="shared" si="7"/>
        <v>118.8685753668212</v>
      </c>
      <c r="S14" s="97">
        <f t="shared" si="3"/>
        <v>82.69600361723069</v>
      </c>
      <c r="T14" s="252">
        <f t="shared" si="4"/>
        <v>387740.5737886891</v>
      </c>
      <c r="U14" s="112">
        <f t="shared" si="5"/>
        <v>113.20816701602018</v>
      </c>
      <c r="V14" s="142">
        <f t="shared" si="6"/>
        <v>877.9079927271483</v>
      </c>
    </row>
    <row r="15" spans="2:22" ht="12.75" customHeight="1">
      <c r="B15" s="74">
        <v>10</v>
      </c>
      <c r="C15" s="75" t="s">
        <v>16</v>
      </c>
      <c r="D15" s="80" t="s">
        <v>17</v>
      </c>
      <c r="E15" s="81">
        <v>43989982</v>
      </c>
      <c r="F15" s="11">
        <v>1592312732.0615523</v>
      </c>
      <c r="G15" s="45">
        <v>896472068.1506538</v>
      </c>
      <c r="H15" s="57">
        <v>4996.4385062993415</v>
      </c>
      <c r="I15" s="62">
        <f>10*9992877.01259868</f>
        <v>99928770.1259868</v>
      </c>
      <c r="J15" s="54"/>
      <c r="K15" s="21">
        <v>8</v>
      </c>
      <c r="L15" s="5">
        <v>2013</v>
      </c>
      <c r="M15" s="93">
        <v>4</v>
      </c>
      <c r="N15" s="88">
        <f t="shared" si="0"/>
        <v>132.1755162503437</v>
      </c>
      <c r="O15" s="116">
        <f t="shared" si="1"/>
        <v>3.5161849516077295</v>
      </c>
      <c r="P15" s="267">
        <f t="shared" si="2"/>
        <v>127.2759344781777</v>
      </c>
      <c r="Q15" s="67">
        <v>2.5</v>
      </c>
      <c r="R15" s="88">
        <f t="shared" si="7"/>
        <v>121.84028975099173</v>
      </c>
      <c r="S15" s="97">
        <f t="shared" si="3"/>
        <v>87.30630581889127</v>
      </c>
      <c r="T15" s="252">
        <f t="shared" si="4"/>
        <v>399372.79100234975</v>
      </c>
      <c r="U15" s="112">
        <f t="shared" si="5"/>
        <v>116.0383711914207</v>
      </c>
      <c r="V15" s="142">
        <f t="shared" si="6"/>
        <v>926.8513633216867</v>
      </c>
    </row>
    <row r="16" spans="2:22" ht="12.75" customHeight="1">
      <c r="B16" s="74">
        <v>11</v>
      </c>
      <c r="C16" s="75" t="s">
        <v>18</v>
      </c>
      <c r="D16" s="80" t="s">
        <v>19</v>
      </c>
      <c r="E16" s="81">
        <v>43387513</v>
      </c>
      <c r="F16" s="11">
        <v>1570505060.9565175</v>
      </c>
      <c r="G16" s="45">
        <v>884194349.3185192</v>
      </c>
      <c r="H16" s="57">
        <v>4928.009305522408</v>
      </c>
      <c r="I16" s="62">
        <f>10*9856018.61104482</f>
        <v>98560186.11044821</v>
      </c>
      <c r="J16" s="54"/>
      <c r="K16" s="21">
        <v>9</v>
      </c>
      <c r="L16" s="5">
        <v>2014</v>
      </c>
      <c r="M16" s="93">
        <v>4</v>
      </c>
      <c r="N16" s="88">
        <f t="shared" si="0"/>
        <v>137.46253690035743</v>
      </c>
      <c r="O16" s="116">
        <f t="shared" si="1"/>
        <v>3.6568323496720385</v>
      </c>
      <c r="P16" s="267">
        <f t="shared" si="2"/>
        <v>132.3669718573048</v>
      </c>
      <c r="Q16" s="67">
        <v>2.5</v>
      </c>
      <c r="R16" s="88">
        <f t="shared" si="7"/>
        <v>124.88629699476651</v>
      </c>
      <c r="S16" s="97">
        <f t="shared" si="3"/>
        <v>93.06852200293811</v>
      </c>
      <c r="T16" s="252">
        <f t="shared" si="4"/>
        <v>415347.7026424437</v>
      </c>
      <c r="U16" s="112">
        <f t="shared" si="5"/>
        <v>118.93933047120619</v>
      </c>
      <c r="V16" s="142">
        <f t="shared" si="6"/>
        <v>988.0235533009179</v>
      </c>
    </row>
    <row r="17" spans="2:22" ht="12.75" customHeight="1">
      <c r="B17" s="74">
        <v>12</v>
      </c>
      <c r="C17" s="75" t="s">
        <v>20</v>
      </c>
      <c r="D17" s="80" t="s">
        <v>21</v>
      </c>
      <c r="E17" s="81">
        <v>41940059</v>
      </c>
      <c r="F17" s="11">
        <v>1518111326.5541387</v>
      </c>
      <c r="G17" s="45">
        <v>854696676.84998</v>
      </c>
      <c r="H17" s="57">
        <v>4763.605626027904</v>
      </c>
      <c r="I17" s="62">
        <f>10*9527211.25205581</f>
        <v>95272112.5205581</v>
      </c>
      <c r="J17" s="54"/>
      <c r="K17" s="98">
        <v>10</v>
      </c>
      <c r="L17" s="107">
        <v>2015</v>
      </c>
      <c r="M17" s="94">
        <v>4</v>
      </c>
      <c r="N17" s="99">
        <f t="shared" si="0"/>
        <v>142.96103837637173</v>
      </c>
      <c r="O17" s="132">
        <f t="shared" si="1"/>
        <v>3.8031056436589203</v>
      </c>
      <c r="P17" s="218">
        <f t="shared" si="2"/>
        <v>137.661650731597</v>
      </c>
      <c r="Q17" s="133">
        <v>2.5</v>
      </c>
      <c r="R17" s="92">
        <f t="shared" si="7"/>
        <v>128.00845441963565</v>
      </c>
      <c r="S17" s="244">
        <f t="shared" si="3"/>
        <v>99.211044455132</v>
      </c>
      <c r="T17" s="253">
        <f t="shared" si="4"/>
        <v>431961.6107481414</v>
      </c>
      <c r="U17" s="134">
        <f t="shared" si="5"/>
        <v>121.91281373298634</v>
      </c>
      <c r="V17" s="143">
        <f t="shared" si="6"/>
        <v>1053.2331078187783</v>
      </c>
    </row>
    <row r="18" spans="2:22" ht="12.75" customHeight="1">
      <c r="B18" s="74">
        <v>13</v>
      </c>
      <c r="C18" s="75" t="s">
        <v>22</v>
      </c>
      <c r="D18" s="80" t="s">
        <v>23</v>
      </c>
      <c r="E18" s="81">
        <v>41885104</v>
      </c>
      <c r="F18" s="11">
        <v>1516122111.2325585</v>
      </c>
      <c r="G18" s="45">
        <v>853576748.6239303</v>
      </c>
      <c r="H18" s="57">
        <v>4757.363766731083</v>
      </c>
      <c r="I18" s="62">
        <f>10*9514727.53346217</f>
        <v>95147275.3346217</v>
      </c>
      <c r="J18" s="54"/>
      <c r="K18" s="21">
        <v>11</v>
      </c>
      <c r="L18" s="5">
        <v>2016</v>
      </c>
      <c r="M18" s="93">
        <v>4</v>
      </c>
      <c r="N18" s="88">
        <f t="shared" si="0"/>
        <v>148.6794799114266</v>
      </c>
      <c r="O18" s="116">
        <f t="shared" si="1"/>
        <v>3.955229869405277</v>
      </c>
      <c r="P18" s="267">
        <f t="shared" si="2"/>
        <v>143.1681167608609</v>
      </c>
      <c r="Q18" s="67">
        <v>2.5</v>
      </c>
      <c r="R18" s="88">
        <f t="shared" si="7"/>
        <v>131.20866578012652</v>
      </c>
      <c r="S18" s="97">
        <f t="shared" si="3"/>
        <v>105.7589733891707</v>
      </c>
      <c r="T18" s="252">
        <f t="shared" si="4"/>
        <v>449240.0751780671</v>
      </c>
      <c r="U18" s="112">
        <f t="shared" si="5"/>
        <v>124.96063407631097</v>
      </c>
      <c r="V18" s="142">
        <f t="shared" si="6"/>
        <v>1122.7464929348173</v>
      </c>
    </row>
    <row r="19" spans="2:22" ht="12.75" customHeight="1">
      <c r="B19" s="74">
        <v>14</v>
      </c>
      <c r="C19" s="75" t="s">
        <v>24</v>
      </c>
      <c r="D19" s="80" t="s">
        <v>25</v>
      </c>
      <c r="E19" s="81">
        <v>41213754</v>
      </c>
      <c r="F19" s="11">
        <v>1491821143.0559967</v>
      </c>
      <c r="G19" s="45">
        <v>839895303.540526</v>
      </c>
      <c r="H19" s="57">
        <v>4681.1109737382585</v>
      </c>
      <c r="I19" s="62">
        <f>10*9362221.94747652</f>
        <v>93622219.4747652</v>
      </c>
      <c r="J19" s="54"/>
      <c r="K19" s="21">
        <v>12</v>
      </c>
      <c r="L19" s="5">
        <v>2017</v>
      </c>
      <c r="M19" s="93">
        <v>3</v>
      </c>
      <c r="N19" s="88">
        <f t="shared" si="0"/>
        <v>154.62665910788365</v>
      </c>
      <c r="O19" s="116">
        <f t="shared" si="1"/>
        <v>4.113439064181487</v>
      </c>
      <c r="P19" s="267">
        <f t="shared" si="2"/>
        <v>148.8948414312953</v>
      </c>
      <c r="Q19" s="67">
        <v>2.5</v>
      </c>
      <c r="R19" s="88">
        <f t="shared" si="7"/>
        <v>134.48888242462968</v>
      </c>
      <c r="S19" s="97">
        <f t="shared" si="3"/>
        <v>112.73906563285595</v>
      </c>
      <c r="T19" s="252">
        <f t="shared" si="4"/>
        <v>467209.6781851897</v>
      </c>
      <c r="U19" s="112">
        <f t="shared" si="5"/>
        <v>128.08464992821874</v>
      </c>
      <c r="V19" s="142">
        <f t="shared" si="6"/>
        <v>1196.847761468515</v>
      </c>
    </row>
    <row r="20" spans="2:22" ht="12.75" customHeight="1">
      <c r="B20" s="74">
        <v>15</v>
      </c>
      <c r="C20" s="75" t="s">
        <v>26</v>
      </c>
      <c r="D20" s="80" t="s">
        <v>27</v>
      </c>
      <c r="E20" s="81">
        <v>41004008</v>
      </c>
      <c r="F20" s="11">
        <v>1484228932.0317006</v>
      </c>
      <c r="G20" s="45">
        <v>835620888.7338474</v>
      </c>
      <c r="H20" s="57">
        <v>4657.287754375671</v>
      </c>
      <c r="I20" s="62">
        <f>10*9314575.50875134</f>
        <v>93145755.0875134</v>
      </c>
      <c r="J20" s="54"/>
      <c r="K20" s="21">
        <v>13</v>
      </c>
      <c r="L20" s="5">
        <v>2018</v>
      </c>
      <c r="M20" s="93">
        <v>2</v>
      </c>
      <c r="N20" s="88">
        <f t="shared" si="0"/>
        <v>159.26545888112017</v>
      </c>
      <c r="O20" s="116">
        <f t="shared" si="1"/>
        <v>4.2368422361069324</v>
      </c>
      <c r="P20" s="267">
        <f t="shared" si="2"/>
        <v>153.36168667423416</v>
      </c>
      <c r="Q20" s="67">
        <v>2.5</v>
      </c>
      <c r="R20" s="88">
        <f t="shared" si="7"/>
        <v>137.8511044852454</v>
      </c>
      <c r="S20" s="97">
        <f t="shared" si="3"/>
        <v>119.02426854188765</v>
      </c>
      <c r="T20" s="252">
        <f t="shared" si="4"/>
        <v>481225.9685307454</v>
      </c>
      <c r="U20" s="112">
        <f t="shared" si="5"/>
        <v>131.28676617642418</v>
      </c>
      <c r="V20" s="142">
        <f t="shared" si="6"/>
        <v>1263.5720241703848</v>
      </c>
    </row>
    <row r="21" spans="2:22" ht="12.75" customHeight="1">
      <c r="B21" s="74">
        <v>16</v>
      </c>
      <c r="C21" s="75" t="s">
        <v>28</v>
      </c>
      <c r="D21" s="80" t="s">
        <v>29</v>
      </c>
      <c r="E21" s="81">
        <v>40269847</v>
      </c>
      <c r="F21" s="11">
        <v>1457654383.5883064</v>
      </c>
      <c r="G21" s="45">
        <v>820659417.9602164</v>
      </c>
      <c r="H21" s="57">
        <v>4573.900807542567</v>
      </c>
      <c r="I21" s="62">
        <f>10*9147801.61508513</f>
        <v>91478016.15085131</v>
      </c>
      <c r="J21" s="54"/>
      <c r="K21" s="21">
        <v>14</v>
      </c>
      <c r="L21" s="5">
        <v>2019</v>
      </c>
      <c r="M21" s="93">
        <v>2</v>
      </c>
      <c r="N21" s="88">
        <f t="shared" si="0"/>
        <v>162.45076805874257</v>
      </c>
      <c r="O21" s="116">
        <f t="shared" si="1"/>
        <v>4.321579080829071</v>
      </c>
      <c r="P21" s="267">
        <f t="shared" si="2"/>
        <v>156.42892040771886</v>
      </c>
      <c r="Q21" s="67">
        <v>2.5</v>
      </c>
      <c r="R21" s="88">
        <f t="shared" si="7"/>
        <v>141.29738209737653</v>
      </c>
      <c r="S21" s="97">
        <f t="shared" si="3"/>
        <v>124.43987276054351</v>
      </c>
      <c r="T21" s="252">
        <f t="shared" si="4"/>
        <v>490850.4879013603</v>
      </c>
      <c r="U21" s="112">
        <f t="shared" si="5"/>
        <v>134.5689353308348</v>
      </c>
      <c r="V21" s="142">
        <f t="shared" si="6"/>
        <v>1321.0645512701371</v>
      </c>
    </row>
    <row r="22" spans="2:22" ht="12.75" customHeight="1">
      <c r="B22" s="74">
        <v>17</v>
      </c>
      <c r="C22" s="75" t="s">
        <v>30</v>
      </c>
      <c r="D22" s="80" t="s">
        <v>31</v>
      </c>
      <c r="E22" s="81">
        <v>39684640</v>
      </c>
      <c r="F22" s="11">
        <v>1436471547.982883</v>
      </c>
      <c r="G22" s="45">
        <v>808733481.514363</v>
      </c>
      <c r="H22" s="57">
        <v>4507.432246838089</v>
      </c>
      <c r="I22" s="62">
        <f>10*9014864.49367618</f>
        <v>90148644.9367618</v>
      </c>
      <c r="J22" s="54"/>
      <c r="K22" s="98">
        <v>15</v>
      </c>
      <c r="L22" s="107">
        <v>2020</v>
      </c>
      <c r="M22" s="94">
        <v>3</v>
      </c>
      <c r="N22" s="92">
        <f t="shared" si="0"/>
        <v>165.69978341991742</v>
      </c>
      <c r="O22" s="132">
        <f t="shared" si="1"/>
        <v>4.408010662445653</v>
      </c>
      <c r="P22" s="218">
        <f t="shared" si="2"/>
        <v>159.55749881587323</v>
      </c>
      <c r="Q22" s="133">
        <v>2.5</v>
      </c>
      <c r="R22" s="92">
        <f t="shared" si="7"/>
        <v>144.82981664981094</v>
      </c>
      <c r="S22" s="244">
        <f t="shared" si="3"/>
        <v>130.10188697114828</v>
      </c>
      <c r="T22" s="253">
        <f t="shared" si="4"/>
        <v>500667.4976593876</v>
      </c>
      <c r="U22" s="134">
        <f t="shared" si="5"/>
        <v>137.93315871410564</v>
      </c>
      <c r="V22" s="143">
        <f t="shared" si="6"/>
        <v>1381.1729883529285</v>
      </c>
    </row>
    <row r="23" spans="2:22" ht="12.75" customHeight="1">
      <c r="B23" s="74">
        <v>18</v>
      </c>
      <c r="C23" s="75" t="s">
        <v>32</v>
      </c>
      <c r="D23" s="80" t="s">
        <v>33</v>
      </c>
      <c r="E23" s="81">
        <v>38985043</v>
      </c>
      <c r="F23" s="11">
        <v>1411148118.4253972</v>
      </c>
      <c r="G23" s="45">
        <v>794476390.6734985</v>
      </c>
      <c r="H23" s="57">
        <v>4427.971123401133</v>
      </c>
      <c r="I23" s="62">
        <f>10*8855942.24680226</f>
        <v>88559422.46802258</v>
      </c>
      <c r="J23" s="54"/>
      <c r="K23" s="21">
        <v>16</v>
      </c>
      <c r="L23" s="5">
        <v>2021</v>
      </c>
      <c r="M23" s="93">
        <v>4</v>
      </c>
      <c r="N23" s="88">
        <f t="shared" si="0"/>
        <v>170.67077692251496</v>
      </c>
      <c r="O23" s="116">
        <f t="shared" si="1"/>
        <v>4.540250982319023</v>
      </c>
      <c r="P23" s="267">
        <f t="shared" si="2"/>
        <v>164.34422378034944</v>
      </c>
      <c r="Q23" s="67">
        <v>2.5</v>
      </c>
      <c r="R23" s="88">
        <f t="shared" si="7"/>
        <v>148.4505620660562</v>
      </c>
      <c r="S23" s="97">
        <f t="shared" si="3"/>
        <v>137.35506716978978</v>
      </c>
      <c r="T23" s="252">
        <f t="shared" si="4"/>
        <v>515687.5225891692</v>
      </c>
      <c r="U23" s="112">
        <f t="shared" si="5"/>
        <v>141.38148768195828</v>
      </c>
      <c r="V23" s="142">
        <f t="shared" si="6"/>
        <v>1458.1733824536043</v>
      </c>
    </row>
    <row r="24" spans="2:22" ht="12.75" customHeight="1">
      <c r="B24" s="74">
        <v>19</v>
      </c>
      <c r="C24" s="75" t="s">
        <v>34</v>
      </c>
      <c r="D24" s="80" t="s">
        <v>35</v>
      </c>
      <c r="E24" s="81">
        <v>37604373</v>
      </c>
      <c r="F24" s="11">
        <v>1361171775.6349995</v>
      </c>
      <c r="G24" s="45">
        <v>766339709.6825047</v>
      </c>
      <c r="H24" s="57">
        <v>4271.1528561762825</v>
      </c>
      <c r="I24" s="62">
        <f>10*8542305.71235256</f>
        <v>85423057.1235256</v>
      </c>
      <c r="J24" s="54"/>
      <c r="K24" s="21">
        <v>17</v>
      </c>
      <c r="L24" s="5">
        <v>2022</v>
      </c>
      <c r="M24" s="93">
        <v>4</v>
      </c>
      <c r="N24" s="88">
        <f t="shared" si="0"/>
        <v>177.49760799941558</v>
      </c>
      <c r="O24" s="116">
        <f t="shared" si="1"/>
        <v>4.721861021611784</v>
      </c>
      <c r="P24" s="267">
        <f t="shared" si="2"/>
        <v>170.91799273156346</v>
      </c>
      <c r="Q24" s="67">
        <v>2.5</v>
      </c>
      <c r="R24" s="88">
        <f t="shared" si="7"/>
        <v>152.1618261177076</v>
      </c>
      <c r="S24" s="97">
        <f t="shared" si="3"/>
        <v>146.42050160299593</v>
      </c>
      <c r="T24" s="252">
        <f t="shared" si="4"/>
        <v>536315.023492736</v>
      </c>
      <c r="U24" s="112">
        <f t="shared" si="5"/>
        <v>144.91602487400723</v>
      </c>
      <c r="V24" s="142">
        <f t="shared" si="6"/>
        <v>1554.412825695542</v>
      </c>
    </row>
    <row r="25" spans="2:22" ht="12.75" customHeight="1">
      <c r="B25" s="74">
        <v>20</v>
      </c>
      <c r="C25" s="75" t="s">
        <v>36</v>
      </c>
      <c r="D25" s="80" t="s">
        <v>37</v>
      </c>
      <c r="E25" s="81">
        <v>36389294</v>
      </c>
      <c r="F25" s="11">
        <v>1317189357.952705</v>
      </c>
      <c r="G25" s="45">
        <v>741577608.5273728</v>
      </c>
      <c r="H25" s="57">
        <v>4133.142626851894</v>
      </c>
      <c r="I25" s="62">
        <f>10*8266285.25370379</f>
        <v>82662852.5370379</v>
      </c>
      <c r="J25" s="54"/>
      <c r="K25" s="21">
        <v>18</v>
      </c>
      <c r="L25" s="5">
        <v>2023</v>
      </c>
      <c r="M25" s="93">
        <v>4</v>
      </c>
      <c r="N25" s="88">
        <f t="shared" si="0"/>
        <v>184.5975123193922</v>
      </c>
      <c r="O25" s="116">
        <f t="shared" si="1"/>
        <v>4.910735462476255</v>
      </c>
      <c r="P25" s="267">
        <f t="shared" si="2"/>
        <v>177.75471244082595</v>
      </c>
      <c r="Q25" s="67">
        <v>2.5</v>
      </c>
      <c r="R25" s="88">
        <f t="shared" si="7"/>
        <v>155.96587177065027</v>
      </c>
      <c r="S25" s="97">
        <f t="shared" si="3"/>
        <v>156.0842547087936</v>
      </c>
      <c r="T25" s="252">
        <f t="shared" si="4"/>
        <v>557767.6244324455</v>
      </c>
      <c r="U25" s="112">
        <f t="shared" si="5"/>
        <v>148.5389254958574</v>
      </c>
      <c r="V25" s="142">
        <f t="shared" si="6"/>
        <v>1657.0040721914477</v>
      </c>
    </row>
    <row r="26" spans="2:22" ht="12.75" customHeight="1">
      <c r="B26" s="74">
        <v>21</v>
      </c>
      <c r="C26" s="75" t="s">
        <v>38</v>
      </c>
      <c r="D26" s="80" t="s">
        <v>21</v>
      </c>
      <c r="E26" s="81">
        <v>34128048</v>
      </c>
      <c r="F26" s="11">
        <v>1235338658.4883757</v>
      </c>
      <c r="G26" s="45">
        <v>695495664.7289554</v>
      </c>
      <c r="H26" s="57">
        <v>3876.307409537749</v>
      </c>
      <c r="I26" s="62">
        <f>10*7752614.8190755</f>
        <v>77526148.190755</v>
      </c>
      <c r="J26" s="54"/>
      <c r="K26" s="21">
        <v>19</v>
      </c>
      <c r="L26" s="5">
        <v>2024</v>
      </c>
      <c r="M26" s="93">
        <v>4</v>
      </c>
      <c r="N26" s="88">
        <f t="shared" si="0"/>
        <v>191.9814128121679</v>
      </c>
      <c r="O26" s="116">
        <f t="shared" si="1"/>
        <v>5.107164880975306</v>
      </c>
      <c r="P26" s="267">
        <f t="shared" si="2"/>
        <v>184.86490093845902</v>
      </c>
      <c r="Q26" s="67">
        <v>2.5</v>
      </c>
      <c r="R26" s="88">
        <f t="shared" si="7"/>
        <v>159.8650185649165</v>
      </c>
      <c r="S26" s="97">
        <f t="shared" si="3"/>
        <v>166.38581551957398</v>
      </c>
      <c r="T26" s="252">
        <f t="shared" si="4"/>
        <v>580078.3294097433</v>
      </c>
      <c r="U26" s="112">
        <f t="shared" si="5"/>
        <v>152.25239863325382</v>
      </c>
      <c r="V26" s="142">
        <f t="shared" si="6"/>
        <v>1766.3663409560831</v>
      </c>
    </row>
    <row r="27" spans="2:22" ht="12.75" customHeight="1">
      <c r="B27" s="74">
        <v>22</v>
      </c>
      <c r="C27" s="75" t="s">
        <v>39</v>
      </c>
      <c r="D27" s="80" t="s">
        <v>40</v>
      </c>
      <c r="E27" s="81">
        <v>33999990</v>
      </c>
      <c r="F27" s="11">
        <v>1230703321.6554954</v>
      </c>
      <c r="G27" s="45">
        <v>692885970.0920439</v>
      </c>
      <c r="H27" s="57">
        <v>3861.762417856696</v>
      </c>
      <c r="I27" s="62">
        <f>10*7723524.83571339</f>
        <v>77235248.3571339</v>
      </c>
      <c r="J27" s="54"/>
      <c r="K27" s="98">
        <v>20</v>
      </c>
      <c r="L27" s="107">
        <v>2025</v>
      </c>
      <c r="M27" s="101">
        <v>3</v>
      </c>
      <c r="N27" s="99">
        <f t="shared" si="0"/>
        <v>199.6606693246546</v>
      </c>
      <c r="O27" s="132">
        <f t="shared" si="1"/>
        <v>5.311451476214318</v>
      </c>
      <c r="P27" s="218">
        <f t="shared" si="2"/>
        <v>192.25949697599737</v>
      </c>
      <c r="Q27" s="133">
        <v>2.5</v>
      </c>
      <c r="R27" s="92">
        <f t="shared" si="7"/>
        <v>163.8616440290394</v>
      </c>
      <c r="S27" s="244">
        <f t="shared" si="3"/>
        <v>177.36727934386587</v>
      </c>
      <c r="T27" s="253">
        <f t="shared" si="4"/>
        <v>603281.462586133</v>
      </c>
      <c r="U27" s="134">
        <f t="shared" si="5"/>
        <v>156.05870859908515</v>
      </c>
      <c r="V27" s="143">
        <f t="shared" si="6"/>
        <v>1882.9465194591844</v>
      </c>
    </row>
    <row r="28" spans="2:22" ht="12.75" customHeight="1">
      <c r="B28" s="74">
        <v>23</v>
      </c>
      <c r="C28" s="75" t="s">
        <v>41</v>
      </c>
      <c r="D28" s="80" t="s">
        <v>42</v>
      </c>
      <c r="E28" s="81">
        <v>32802363</v>
      </c>
      <c r="F28" s="11">
        <v>1187352616.9345732</v>
      </c>
      <c r="G28" s="45">
        <v>668479523.3341646</v>
      </c>
      <c r="H28" s="57">
        <v>3725.73440904815</v>
      </c>
      <c r="I28" s="62">
        <f>10*7451468.8180963</f>
        <v>74514688.180963</v>
      </c>
      <c r="J28" s="54"/>
      <c r="K28" s="21">
        <v>21</v>
      </c>
      <c r="L28" s="5">
        <v>2026</v>
      </c>
      <c r="M28" s="93">
        <v>2</v>
      </c>
      <c r="N28" s="88">
        <f t="shared" si="0"/>
        <v>205.65048940439425</v>
      </c>
      <c r="O28" s="116">
        <f t="shared" si="1"/>
        <v>5.470795020500747</v>
      </c>
      <c r="P28" s="267">
        <f t="shared" si="2"/>
        <v>198.0272818852773</v>
      </c>
      <c r="Q28" s="67">
        <v>2.5</v>
      </c>
      <c r="R28" s="88">
        <f t="shared" si="7"/>
        <v>167.95818512976538</v>
      </c>
      <c r="S28" s="97">
        <f t="shared" si="3"/>
        <v>187.25550516728637</v>
      </c>
      <c r="T28" s="252">
        <f t="shared" si="4"/>
        <v>621379.906463717</v>
      </c>
      <c r="U28" s="112">
        <f t="shared" si="5"/>
        <v>159.96017631406227</v>
      </c>
      <c r="V28" s="142">
        <f t="shared" si="6"/>
        <v>1987.920787919034</v>
      </c>
    </row>
    <row r="29" spans="2:22" ht="12.75" customHeight="1">
      <c r="B29" s="74">
        <v>24</v>
      </c>
      <c r="C29" s="75" t="s">
        <v>43</v>
      </c>
      <c r="D29" s="80" t="s">
        <v>44</v>
      </c>
      <c r="E29" s="81">
        <v>32784330</v>
      </c>
      <c r="F29" s="11">
        <v>1186699873.4190776</v>
      </c>
      <c r="G29" s="45">
        <v>668112028.7349406</v>
      </c>
      <c r="H29" s="57">
        <v>3723.6861978080524</v>
      </c>
      <c r="I29" s="62">
        <f>10*7447372.3956161</f>
        <v>74473723.956161</v>
      </c>
      <c r="J29" s="54"/>
      <c r="K29" s="21">
        <v>22</v>
      </c>
      <c r="L29" s="5">
        <v>2027</v>
      </c>
      <c r="M29" s="93">
        <v>2</v>
      </c>
      <c r="N29" s="88">
        <f t="shared" si="0"/>
        <v>209.76349919248213</v>
      </c>
      <c r="O29" s="116">
        <f t="shared" si="1"/>
        <v>5.580210920910762</v>
      </c>
      <c r="P29" s="267">
        <f t="shared" si="2"/>
        <v>201.98782752298283</v>
      </c>
      <c r="Q29" s="67">
        <v>2.5</v>
      </c>
      <c r="R29" s="88">
        <f t="shared" si="7"/>
        <v>172.1571397580095</v>
      </c>
      <c r="S29" s="97">
        <f t="shared" si="3"/>
        <v>195.77563065239787</v>
      </c>
      <c r="T29" s="252">
        <f t="shared" si="4"/>
        <v>633807.5045929913</v>
      </c>
      <c r="U29" s="112">
        <f t="shared" si="5"/>
        <v>163.95918072191378</v>
      </c>
      <c r="V29" s="142">
        <f t="shared" si="6"/>
        <v>2078.371183769349</v>
      </c>
    </row>
    <row r="30" spans="2:22" ht="12.75" customHeight="1">
      <c r="B30" s="74">
        <v>25</v>
      </c>
      <c r="C30" s="75" t="s">
        <v>45</v>
      </c>
      <c r="D30" s="80" t="s">
        <v>46</v>
      </c>
      <c r="E30" s="81">
        <v>32430856</v>
      </c>
      <c r="F30" s="11">
        <v>1173905115.952418</v>
      </c>
      <c r="G30" s="45">
        <v>660908580.2812113</v>
      </c>
      <c r="H30" s="57">
        <v>3683.5381680912947</v>
      </c>
      <c r="I30" s="62">
        <f>10*7367076.33618259</f>
        <v>73670763.3618259</v>
      </c>
      <c r="J30" s="54"/>
      <c r="K30" s="21">
        <v>23</v>
      </c>
      <c r="L30" s="5">
        <v>2028</v>
      </c>
      <c r="M30" s="93">
        <v>3</v>
      </c>
      <c r="N30" s="88">
        <f t="shared" si="0"/>
        <v>213.95876917633177</v>
      </c>
      <c r="O30" s="116">
        <f t="shared" si="1"/>
        <v>5.691815139328978</v>
      </c>
      <c r="P30" s="267">
        <f t="shared" si="2"/>
        <v>206.0275840734425</v>
      </c>
      <c r="Q30" s="67">
        <v>2.5</v>
      </c>
      <c r="R30" s="88">
        <f t="shared" si="7"/>
        <v>176.46106825195972</v>
      </c>
      <c r="S30" s="97">
        <f t="shared" si="3"/>
        <v>204.68342184708195</v>
      </c>
      <c r="T30" s="252">
        <f t="shared" si="4"/>
        <v>646483.6546848513</v>
      </c>
      <c r="U30" s="112">
        <f t="shared" si="5"/>
        <v>168.05816023996164</v>
      </c>
      <c r="V30" s="142">
        <f t="shared" si="6"/>
        <v>2172.9370726308553</v>
      </c>
    </row>
    <row r="31" spans="2:22" ht="12.75" customHeight="1">
      <c r="B31" s="74">
        <v>26</v>
      </c>
      <c r="C31" s="75" t="s">
        <v>47</v>
      </c>
      <c r="D31" s="80" t="s">
        <v>48</v>
      </c>
      <c r="E31" s="81">
        <v>31495385</v>
      </c>
      <c r="F31" s="11">
        <v>1140043715.7869358</v>
      </c>
      <c r="G31" s="45">
        <v>641844611.9880449</v>
      </c>
      <c r="H31" s="57">
        <v>3577.2861735820366</v>
      </c>
      <c r="I31" s="62">
        <f>10*7154572.34716407</f>
        <v>71545723.4716407</v>
      </c>
      <c r="J31" s="54"/>
      <c r="K31" s="21">
        <v>24</v>
      </c>
      <c r="L31" s="5">
        <v>2029</v>
      </c>
      <c r="M31" s="93">
        <v>4</v>
      </c>
      <c r="N31" s="88">
        <f t="shared" si="0"/>
        <v>220.37753225162172</v>
      </c>
      <c r="O31" s="116">
        <f t="shared" si="1"/>
        <v>5.862569593508846</v>
      </c>
      <c r="P31" s="267">
        <f t="shared" si="2"/>
        <v>212.20841159564577</v>
      </c>
      <c r="Q31" s="67">
        <v>2.5</v>
      </c>
      <c r="R31" s="88">
        <f t="shared" si="7"/>
        <v>180.8725949582587</v>
      </c>
      <c r="S31" s="97">
        <f t="shared" si="3"/>
        <v>216.09452261505675</v>
      </c>
      <c r="T31" s="252">
        <f t="shared" si="4"/>
        <v>665878.1643253968</v>
      </c>
      <c r="U31" s="112">
        <f t="shared" si="5"/>
        <v>172.25961424596065</v>
      </c>
      <c r="V31" s="142">
        <f t="shared" si="6"/>
        <v>2294.078314430025</v>
      </c>
    </row>
    <row r="32" spans="2:22" ht="12.75" customHeight="1">
      <c r="B32" s="74">
        <v>27</v>
      </c>
      <c r="C32" s="75" t="s">
        <v>49</v>
      </c>
      <c r="D32" s="80" t="s">
        <v>2</v>
      </c>
      <c r="E32" s="81">
        <v>31451274</v>
      </c>
      <c r="F32" s="11">
        <v>1138447022.5460985</v>
      </c>
      <c r="G32" s="45">
        <v>640945673.6934533</v>
      </c>
      <c r="H32" s="57">
        <v>3572.275989696275</v>
      </c>
      <c r="I32" s="62">
        <f>10*7144551.97939255</f>
        <v>71445519.7939255</v>
      </c>
      <c r="J32" s="54"/>
      <c r="K32" s="90">
        <v>25</v>
      </c>
      <c r="L32" s="91">
        <v>2030</v>
      </c>
      <c r="M32" s="94">
        <v>4</v>
      </c>
      <c r="N32" s="92">
        <f t="shared" si="0"/>
        <v>229.1926335416866</v>
      </c>
      <c r="O32" s="132">
        <f t="shared" si="1"/>
        <v>6.097072377249201</v>
      </c>
      <c r="P32" s="218">
        <f t="shared" si="2"/>
        <v>220.69674805947162</v>
      </c>
      <c r="Q32" s="133">
        <v>2.5</v>
      </c>
      <c r="R32" s="92">
        <f t="shared" si="7"/>
        <v>185.39440983221516</v>
      </c>
      <c r="S32" s="244">
        <f t="shared" si="3"/>
        <v>230.3567611076505</v>
      </c>
      <c r="T32" s="253">
        <f t="shared" si="4"/>
        <v>692513.2908984127</v>
      </c>
      <c r="U32" s="134">
        <f t="shared" si="5"/>
        <v>176.56610460210968</v>
      </c>
      <c r="V32" s="143">
        <f t="shared" si="6"/>
        <v>2445.4874831824072</v>
      </c>
    </row>
    <row r="33" spans="2:22" ht="12.75" customHeight="1">
      <c r="B33" s="74">
        <v>28</v>
      </c>
      <c r="C33" s="75" t="s">
        <v>50</v>
      </c>
      <c r="D33" s="80" t="s">
        <v>0</v>
      </c>
      <c r="E33" s="81">
        <v>31008453</v>
      </c>
      <c r="F33" s="11">
        <v>1122418156.7847023</v>
      </c>
      <c r="G33" s="45">
        <v>631921422.2697873</v>
      </c>
      <c r="H33" s="57">
        <v>3521.979813266878</v>
      </c>
      <c r="I33" s="62">
        <f>10*7043959.62653376</f>
        <v>70439596.2653376</v>
      </c>
      <c r="J33" s="54"/>
      <c r="K33" s="21">
        <v>26</v>
      </c>
      <c r="L33" s="5">
        <v>2031</v>
      </c>
      <c r="M33" s="93">
        <v>4</v>
      </c>
      <c r="N33" s="88">
        <f t="shared" si="0"/>
        <v>238.36033888335407</v>
      </c>
      <c r="O33" s="116">
        <f t="shared" si="1"/>
        <v>6.340955272339169</v>
      </c>
      <c r="P33" s="267">
        <f t="shared" si="2"/>
        <v>229.5246179818505</v>
      </c>
      <c r="Q33" s="67">
        <v>2.5</v>
      </c>
      <c r="R33" s="88">
        <f t="shared" si="7"/>
        <v>190.02927007802052</v>
      </c>
      <c r="S33" s="97">
        <f t="shared" si="3"/>
        <v>245.5603073407554</v>
      </c>
      <c r="T33" s="252">
        <f t="shared" si="4"/>
        <v>720213.8225343492</v>
      </c>
      <c r="U33" s="112">
        <f t="shared" si="5"/>
        <v>180.98025721716238</v>
      </c>
      <c r="V33" s="142">
        <f t="shared" si="6"/>
        <v>2606.889657072445</v>
      </c>
    </row>
    <row r="34" spans="2:22" ht="12.75" customHeight="1">
      <c r="B34" s="74">
        <v>29</v>
      </c>
      <c r="C34" s="75" t="s">
        <v>51</v>
      </c>
      <c r="D34" s="80" t="s">
        <v>52</v>
      </c>
      <c r="E34" s="81">
        <v>29914750</v>
      </c>
      <c r="F34" s="11">
        <v>1082829206.4642882</v>
      </c>
      <c r="G34" s="45">
        <v>609632843.2393942</v>
      </c>
      <c r="H34" s="57">
        <v>3397.7556255039667</v>
      </c>
      <c r="I34" s="62">
        <f>10*6795511.25100793</f>
        <v>67955112.51007931</v>
      </c>
      <c r="J34" s="54"/>
      <c r="K34" s="21">
        <v>27</v>
      </c>
      <c r="L34" s="5">
        <v>2032</v>
      </c>
      <c r="M34" s="93">
        <v>4</v>
      </c>
      <c r="N34" s="88">
        <f t="shared" si="0"/>
        <v>247.89475243868824</v>
      </c>
      <c r="O34" s="116">
        <f t="shared" si="1"/>
        <v>6.594593483232737</v>
      </c>
      <c r="P34" s="267">
        <f t="shared" si="2"/>
        <v>238.70560270112452</v>
      </c>
      <c r="Q34" s="67">
        <v>2.5</v>
      </c>
      <c r="R34" s="88">
        <f t="shared" si="7"/>
        <v>194.780001829971</v>
      </c>
      <c r="S34" s="97">
        <f t="shared" si="3"/>
        <v>261.7672876252453</v>
      </c>
      <c r="T34" s="252">
        <f t="shared" si="4"/>
        <v>749022.3754357232</v>
      </c>
      <c r="U34" s="112">
        <f t="shared" si="5"/>
        <v>185.50476364759143</v>
      </c>
      <c r="V34" s="142">
        <f t="shared" si="6"/>
        <v>2778.9443744392265</v>
      </c>
    </row>
    <row r="35" spans="2:22" ht="12.75" customHeight="1" thickBot="1">
      <c r="B35" s="76">
        <v>30</v>
      </c>
      <c r="C35" s="77" t="s">
        <v>53</v>
      </c>
      <c r="D35" s="82" t="s">
        <v>54</v>
      </c>
      <c r="E35" s="83">
        <v>29289026</v>
      </c>
      <c r="F35" s="13">
        <v>1060179770.2368196</v>
      </c>
      <c r="G35" s="46">
        <v>596881210.6433294</v>
      </c>
      <c r="H35" s="58">
        <v>3326.685092037604</v>
      </c>
      <c r="I35" s="63">
        <f>10*6653370.18407521</f>
        <v>66533701.8407521</v>
      </c>
      <c r="J35" s="54"/>
      <c r="K35" s="21">
        <v>28</v>
      </c>
      <c r="L35" s="5">
        <v>2033</v>
      </c>
      <c r="M35" s="93">
        <v>3</v>
      </c>
      <c r="N35" s="88">
        <f t="shared" si="0"/>
        <v>257.8105425362358</v>
      </c>
      <c r="O35" s="116">
        <f t="shared" si="1"/>
        <v>6.858377222562047</v>
      </c>
      <c r="P35" s="267">
        <f t="shared" si="2"/>
        <v>248.25382680916954</v>
      </c>
      <c r="Q35" s="67">
        <v>2.5</v>
      </c>
      <c r="R35" s="88">
        <f t="shared" si="7"/>
        <v>199.64950187572026</v>
      </c>
      <c r="S35" s="97">
        <f t="shared" si="3"/>
        <v>279.0439286085114</v>
      </c>
      <c r="T35" s="252">
        <f t="shared" si="4"/>
        <v>778983.2704531522</v>
      </c>
      <c r="U35" s="112">
        <f t="shared" si="5"/>
        <v>190.14238273878118</v>
      </c>
      <c r="V35" s="142">
        <f t="shared" si="6"/>
        <v>2962.3547031522157</v>
      </c>
    </row>
    <row r="36" spans="2:22" ht="13.5" thickBot="1">
      <c r="B36" s="47" t="s">
        <v>61</v>
      </c>
      <c r="C36" s="28"/>
      <c r="D36" s="85" t="s">
        <v>114</v>
      </c>
      <c r="E36" s="48">
        <f>SUM(E5:E35)</f>
        <v>1330119621</v>
      </c>
      <c r="F36" s="49">
        <v>48146562271.455025</v>
      </c>
      <c r="G36" s="50">
        <v>27106514558.8292</v>
      </c>
      <c r="H36" s="59">
        <v>151076.690423485</v>
      </c>
      <c r="I36" s="66">
        <f>10*302153380.84697</f>
        <v>3021533808.4697003</v>
      </c>
      <c r="J36" s="54"/>
      <c r="K36" s="21">
        <v>29</v>
      </c>
      <c r="L36" s="5">
        <v>2034</v>
      </c>
      <c r="M36" s="93">
        <v>2</v>
      </c>
      <c r="N36" s="88">
        <f t="shared" si="0"/>
        <v>265.5448588123229</v>
      </c>
      <c r="O36" s="116">
        <f t="shared" si="1"/>
        <v>7.064128539238909</v>
      </c>
      <c r="P36" s="267">
        <f t="shared" si="2"/>
        <v>255.70144161344464</v>
      </c>
      <c r="Q36" s="67">
        <v>2.5</v>
      </c>
      <c r="R36" s="88">
        <f t="shared" si="7"/>
        <v>204.64073942261325</v>
      </c>
      <c r="S36" s="97">
        <f t="shared" si="3"/>
        <v>294.600627628436</v>
      </c>
      <c r="T36" s="252">
        <f t="shared" si="4"/>
        <v>802352.7685667468</v>
      </c>
      <c r="U36" s="112">
        <f t="shared" si="5"/>
        <v>194.89594230725072</v>
      </c>
      <c r="V36" s="142">
        <f t="shared" si="6"/>
        <v>3127.505977852951</v>
      </c>
    </row>
    <row r="37" spans="2:22" ht="12.75">
      <c r="B37" t="s">
        <v>62</v>
      </c>
      <c r="E37" s="2">
        <f>E14</f>
        <v>44163098</v>
      </c>
      <c r="F37" s="2"/>
      <c r="K37" s="98">
        <v>30</v>
      </c>
      <c r="L37" s="107">
        <v>2035</v>
      </c>
      <c r="M37" s="94">
        <v>2</v>
      </c>
      <c r="N37" s="92">
        <f t="shared" si="0"/>
        <v>270.85575598856934</v>
      </c>
      <c r="O37" s="132">
        <f t="shared" si="1"/>
        <v>7.205411110023686</v>
      </c>
      <c r="P37" s="218">
        <f t="shared" si="2"/>
        <v>260.8154704457135</v>
      </c>
      <c r="Q37" s="133">
        <v>2.5</v>
      </c>
      <c r="R37" s="92">
        <f t="shared" si="7"/>
        <v>209.75675790817857</v>
      </c>
      <c r="S37" s="244">
        <f t="shared" si="3"/>
        <v>308.00495618552975</v>
      </c>
      <c r="T37" s="253">
        <f t="shared" si="4"/>
        <v>818399.8239380816</v>
      </c>
      <c r="U37" s="134">
        <f t="shared" si="5"/>
        <v>199.76834086493196</v>
      </c>
      <c r="V37" s="143">
        <f t="shared" si="6"/>
        <v>3269.80749984526</v>
      </c>
    </row>
    <row r="38" spans="2:22" ht="12.75">
      <c r="B38" t="s">
        <v>63</v>
      </c>
      <c r="E38" s="2">
        <f>E36/E37</f>
        <v>30.118349509810205</v>
      </c>
      <c r="F38" s="2"/>
      <c r="H38">
        <f>H36*1000000/E36</f>
        <v>113.58128099027945</v>
      </c>
      <c r="K38" s="21">
        <v>31</v>
      </c>
      <c r="L38" s="5">
        <v>2036</v>
      </c>
      <c r="M38" s="93">
        <v>3</v>
      </c>
      <c r="N38" s="88">
        <f t="shared" si="0"/>
        <v>276.2728711083407</v>
      </c>
      <c r="O38" s="116">
        <f t="shared" si="1"/>
        <v>7.34951933222416</v>
      </c>
      <c r="P38" s="267">
        <f t="shared" si="2"/>
        <v>266.03177985462776</v>
      </c>
      <c r="Q38" s="67">
        <v>2.5</v>
      </c>
      <c r="R38" s="88">
        <f t="shared" si="7"/>
        <v>215.00067685588303</v>
      </c>
      <c r="S38" s="97">
        <f t="shared" si="3"/>
        <v>322.0191816919713</v>
      </c>
      <c r="T38" s="252">
        <f t="shared" si="4"/>
        <v>834767.8204168434</v>
      </c>
      <c r="U38" s="112">
        <f t="shared" si="5"/>
        <v>204.76254938655526</v>
      </c>
      <c r="V38" s="142">
        <f t="shared" si="6"/>
        <v>3418.5837410882195</v>
      </c>
    </row>
    <row r="39" spans="5:22" ht="12.75">
      <c r="E39" s="2">
        <f>E14/1250/365</f>
        <v>96.79583123287671</v>
      </c>
      <c r="F39" s="2"/>
      <c r="K39" s="21">
        <v>32</v>
      </c>
      <c r="L39" s="5">
        <v>2037</v>
      </c>
      <c r="M39" s="93">
        <v>4</v>
      </c>
      <c r="N39" s="88">
        <f t="shared" si="0"/>
        <v>284.56105724159096</v>
      </c>
      <c r="O39" s="116">
        <f t="shared" si="1"/>
        <v>7.570004912190885</v>
      </c>
      <c r="P39" s="267">
        <f t="shared" si="2"/>
        <v>274.0127332502666</v>
      </c>
      <c r="Q39" s="67">
        <v>2.5</v>
      </c>
      <c r="R39" s="88">
        <f t="shared" si="7"/>
        <v>220.37569377728008</v>
      </c>
      <c r="S39" s="97">
        <f t="shared" si="3"/>
        <v>339.9717510712987</v>
      </c>
      <c r="T39" s="252">
        <f t="shared" si="4"/>
        <v>859810.8550293486</v>
      </c>
      <c r="U39" s="112">
        <f t="shared" si="5"/>
        <v>209.88161312121912</v>
      </c>
      <c r="V39" s="142">
        <f t="shared" si="6"/>
        <v>3609.1697846538873</v>
      </c>
    </row>
    <row r="40" spans="5:22" ht="12.75">
      <c r="E40" s="2"/>
      <c r="F40" s="2"/>
      <c r="K40" s="21">
        <v>33</v>
      </c>
      <c r="L40" s="5">
        <v>2038</v>
      </c>
      <c r="M40" s="93">
        <v>4</v>
      </c>
      <c r="N40" s="88">
        <f t="shared" si="0"/>
        <v>295.9434995312546</v>
      </c>
      <c r="O40" s="116">
        <f t="shared" si="1"/>
        <v>7.872805108678521</v>
      </c>
      <c r="P40" s="267">
        <f t="shared" si="2"/>
        <v>284.9732425802773</v>
      </c>
      <c r="Q40" s="67">
        <v>2.5</v>
      </c>
      <c r="R40" s="88">
        <f t="shared" si="7"/>
        <v>225.88508612171205</v>
      </c>
      <c r="S40" s="97">
        <f t="shared" si="3"/>
        <v>362.4098866420044</v>
      </c>
      <c r="T40" s="252">
        <f t="shared" si="4"/>
        <v>894203.2892305227</v>
      </c>
      <c r="U40" s="112">
        <f t="shared" si="5"/>
        <v>215.12865344924955</v>
      </c>
      <c r="V40" s="142">
        <f t="shared" si="6"/>
        <v>3847.3749904410433</v>
      </c>
    </row>
    <row r="41" spans="5:22" ht="13.5" thickBot="1">
      <c r="E41" s="2"/>
      <c r="F41" s="2"/>
      <c r="K41" s="21">
        <v>34</v>
      </c>
      <c r="L41" s="5">
        <v>2039</v>
      </c>
      <c r="M41" s="93">
        <v>4</v>
      </c>
      <c r="N41" s="88">
        <f t="shared" si="0"/>
        <v>307.7812395125048</v>
      </c>
      <c r="O41" s="116">
        <f t="shared" si="1"/>
        <v>8.187717313025662</v>
      </c>
      <c r="P41" s="267">
        <f t="shared" si="2"/>
        <v>296.3721722834884</v>
      </c>
      <c r="Q41" s="67">
        <v>2.5</v>
      </c>
      <c r="R41" s="88">
        <f t="shared" si="7"/>
        <v>231.53221327475484</v>
      </c>
      <c r="S41" s="97">
        <f t="shared" si="3"/>
        <v>386.32893916037665</v>
      </c>
      <c r="T41" s="252">
        <f t="shared" si="4"/>
        <v>929971.4207997436</v>
      </c>
      <c r="U41" s="112">
        <f t="shared" si="5"/>
        <v>220.5068697854808</v>
      </c>
      <c r="V41" s="142">
        <f t="shared" si="6"/>
        <v>4101.301739810153</v>
      </c>
    </row>
    <row r="42" spans="2:22" ht="15.75">
      <c r="B42" s="4"/>
      <c r="C42" s="17" t="s">
        <v>72</v>
      </c>
      <c r="D42" s="18"/>
      <c r="E42" s="19"/>
      <c r="F42" s="19"/>
      <c r="G42" s="20" t="s">
        <v>70</v>
      </c>
      <c r="H42" s="39"/>
      <c r="I42" s="39"/>
      <c r="J42" s="39"/>
      <c r="K42" s="90">
        <v>35</v>
      </c>
      <c r="L42" s="109">
        <v>2040</v>
      </c>
      <c r="M42" s="94">
        <v>4</v>
      </c>
      <c r="N42" s="99">
        <f t="shared" si="0"/>
        <v>320.092489093005</v>
      </c>
      <c r="O42" s="132">
        <f t="shared" si="1"/>
        <v>8.515226005546689</v>
      </c>
      <c r="P42" s="218">
        <f t="shared" si="2"/>
        <v>308.2270591748279</v>
      </c>
      <c r="Q42" s="133">
        <v>2.5</v>
      </c>
      <c r="R42" s="92">
        <f t="shared" si="7"/>
        <v>237.3205186066237</v>
      </c>
      <c r="S42" s="244">
        <f t="shared" si="3"/>
        <v>411.82664914496155</v>
      </c>
      <c r="T42" s="253">
        <f t="shared" si="4"/>
        <v>967170.2776317333</v>
      </c>
      <c r="U42" s="134">
        <f t="shared" si="5"/>
        <v>226.0195415301178</v>
      </c>
      <c r="V42" s="143">
        <f t="shared" si="6"/>
        <v>4371.987654637622</v>
      </c>
    </row>
    <row r="43" spans="2:22" ht="13.5" thickBot="1">
      <c r="B43" s="3"/>
      <c r="C43" s="21"/>
      <c r="D43" s="5"/>
      <c r="E43" s="22"/>
      <c r="F43" s="22"/>
      <c r="G43" s="23"/>
      <c r="H43" s="67"/>
      <c r="I43" s="67"/>
      <c r="J43" s="67"/>
      <c r="K43" s="21">
        <v>36</v>
      </c>
      <c r="L43" s="5">
        <v>2041</v>
      </c>
      <c r="M43" s="93">
        <v>3</v>
      </c>
      <c r="N43" s="88">
        <f t="shared" si="0"/>
        <v>332.8961886567252</v>
      </c>
      <c r="O43" s="116">
        <f t="shared" si="1"/>
        <v>8.855835045768556</v>
      </c>
      <c r="P43" s="267">
        <f t="shared" si="2"/>
        <v>320.5561415418211</v>
      </c>
      <c r="Q43" s="67">
        <v>2.5</v>
      </c>
      <c r="R43" s="88">
        <f t="shared" si="7"/>
        <v>243.25353157178927</v>
      </c>
      <c r="S43" s="97">
        <f t="shared" si="3"/>
        <v>439.00720798852893</v>
      </c>
      <c r="T43" s="252">
        <f t="shared" si="4"/>
        <v>1005857.0887370027</v>
      </c>
      <c r="U43" s="112">
        <f t="shared" si="5"/>
        <v>231.67003006837072</v>
      </c>
      <c r="V43" s="142">
        <f t="shared" si="6"/>
        <v>4660.538839843704</v>
      </c>
    </row>
    <row r="44" spans="2:22" ht="12.75">
      <c r="B44" s="274"/>
      <c r="C44" s="274" t="s">
        <v>57</v>
      </c>
      <c r="D44" s="276"/>
      <c r="E44" s="14" t="s">
        <v>58</v>
      </c>
      <c r="F44" s="9" t="s">
        <v>67</v>
      </c>
      <c r="G44" s="6" t="s">
        <v>67</v>
      </c>
      <c r="H44" s="96"/>
      <c r="I44" s="96"/>
      <c r="J44" s="96"/>
      <c r="K44" s="21">
        <v>37</v>
      </c>
      <c r="L44" s="5">
        <v>2042</v>
      </c>
      <c r="M44" s="93">
        <v>2</v>
      </c>
      <c r="N44" s="88">
        <f t="shared" si="0"/>
        <v>342.883074316427</v>
      </c>
      <c r="O44" s="116">
        <f t="shared" si="1"/>
        <v>9.121510097141613</v>
      </c>
      <c r="P44" s="267">
        <f t="shared" si="2"/>
        <v>330.1728257880757</v>
      </c>
      <c r="Q44" s="67">
        <v>2.5</v>
      </c>
      <c r="R44" s="88">
        <f t="shared" si="7"/>
        <v>249.33486986108397</v>
      </c>
      <c r="S44" s="97">
        <f t="shared" si="3"/>
        <v>463.4818598338893</v>
      </c>
      <c r="T44" s="252">
        <f t="shared" si="4"/>
        <v>1036032.8013991128</v>
      </c>
      <c r="U44" s="112">
        <f t="shared" si="5"/>
        <v>237.46178082007995</v>
      </c>
      <c r="V44" s="142">
        <f t="shared" si="6"/>
        <v>4920.36388016499</v>
      </c>
    </row>
    <row r="45" spans="2:22" ht="13.5" thickBot="1">
      <c r="B45" s="275"/>
      <c r="C45" s="275"/>
      <c r="D45" s="277"/>
      <c r="E45" s="15" t="s">
        <v>59</v>
      </c>
      <c r="F45" s="10" t="s">
        <v>69</v>
      </c>
      <c r="G45" s="8" t="s">
        <v>64</v>
      </c>
      <c r="H45" s="96"/>
      <c r="I45" s="96"/>
      <c r="J45" s="96"/>
      <c r="K45" s="21">
        <v>38</v>
      </c>
      <c r="L45" s="5">
        <v>2043</v>
      </c>
      <c r="M45" s="93">
        <v>2</v>
      </c>
      <c r="N45" s="88">
        <f t="shared" si="0"/>
        <v>349.7407358027555</v>
      </c>
      <c r="O45" s="116">
        <f t="shared" si="1"/>
        <v>9.303940299084445</v>
      </c>
      <c r="P45" s="267">
        <f t="shared" si="2"/>
        <v>336.7762823038372</v>
      </c>
      <c r="Q45" s="67">
        <v>2.5</v>
      </c>
      <c r="R45" s="88">
        <f t="shared" si="7"/>
        <v>255.56824160761104</v>
      </c>
      <c r="S45" s="97">
        <f t="shared" si="3"/>
        <v>484.5702844563313</v>
      </c>
      <c r="T45" s="252">
        <f t="shared" si="4"/>
        <v>1056753.4574270952</v>
      </c>
      <c r="U45" s="112">
        <f t="shared" si="5"/>
        <v>243.39832534058195</v>
      </c>
      <c r="V45" s="142">
        <f t="shared" si="6"/>
        <v>5144.240436712498</v>
      </c>
    </row>
    <row r="46" spans="3:22" ht="12.75">
      <c r="C46" s="24" t="s">
        <v>71</v>
      </c>
      <c r="D46" s="5"/>
      <c r="E46" s="25">
        <v>2500000</v>
      </c>
      <c r="F46" s="26">
        <f>F14/E14*E46</f>
        <v>90492917.91376227</v>
      </c>
      <c r="G46" s="31">
        <f>G14/E14*E46</f>
        <v>50947512.785448164</v>
      </c>
      <c r="H46" s="97"/>
      <c r="I46" s="97"/>
      <c r="J46" s="97"/>
      <c r="K46" s="21">
        <v>39</v>
      </c>
      <c r="L46" s="5">
        <v>2044</v>
      </c>
      <c r="M46" s="93">
        <v>3</v>
      </c>
      <c r="N46" s="88">
        <f t="shared" si="0"/>
        <v>356.7355505188106</v>
      </c>
      <c r="O46" s="116">
        <f t="shared" si="1"/>
        <v>9.490019105066134</v>
      </c>
      <c r="P46" s="267">
        <f t="shared" si="2"/>
        <v>343.51180794991393</v>
      </c>
      <c r="Q46" s="67">
        <v>2.5</v>
      </c>
      <c r="R46" s="88">
        <f t="shared" si="7"/>
        <v>261.9574476478013</v>
      </c>
      <c r="S46" s="97">
        <f t="shared" si="3"/>
        <v>506.6182323990943</v>
      </c>
      <c r="T46" s="252">
        <f t="shared" si="4"/>
        <v>1077888.526575637</v>
      </c>
      <c r="U46" s="112">
        <f t="shared" si="5"/>
        <v>249.48328347409648</v>
      </c>
      <c r="V46" s="142">
        <f t="shared" si="6"/>
        <v>5378.303376582918</v>
      </c>
    </row>
    <row r="47" spans="3:22" ht="13.5" thickBot="1">
      <c r="C47" s="27" t="s">
        <v>71</v>
      </c>
      <c r="D47" s="28"/>
      <c r="E47" s="29">
        <v>4000000</v>
      </c>
      <c r="F47" s="30">
        <f>F14/E14*E47</f>
        <v>144788668.66201964</v>
      </c>
      <c r="G47" s="32">
        <f>G14/E14*E47</f>
        <v>81516020.45671706</v>
      </c>
      <c r="H47" s="38"/>
      <c r="I47" s="38"/>
      <c r="J47" s="38"/>
      <c r="K47" s="100">
        <v>40</v>
      </c>
      <c r="L47" s="91">
        <v>2045</v>
      </c>
      <c r="M47" s="94">
        <v>4</v>
      </c>
      <c r="N47" s="92">
        <f t="shared" si="0"/>
        <v>367.43761703437497</v>
      </c>
      <c r="O47" s="132">
        <f t="shared" si="1"/>
        <v>9.77471967821812</v>
      </c>
      <c r="P47" s="218">
        <f t="shared" si="2"/>
        <v>353.81716218841143</v>
      </c>
      <c r="Q47" s="133">
        <v>2.5</v>
      </c>
      <c r="R47" s="92">
        <f t="shared" si="7"/>
        <v>268.5063838389963</v>
      </c>
      <c r="S47" s="244">
        <f t="shared" si="3"/>
        <v>534.8621988553439</v>
      </c>
      <c r="T47" s="253">
        <f t="shared" si="4"/>
        <v>1110225.1823729062</v>
      </c>
      <c r="U47" s="134">
        <f t="shared" si="5"/>
        <v>255.72036556094886</v>
      </c>
      <c r="V47" s="143">
        <f t="shared" si="6"/>
        <v>5678.143789827414</v>
      </c>
    </row>
    <row r="48" spans="11:22" ht="12.75">
      <c r="K48" s="21">
        <v>41</v>
      </c>
      <c r="L48" s="5">
        <v>2046</v>
      </c>
      <c r="M48" s="93">
        <v>4</v>
      </c>
      <c r="N48" s="88">
        <f t="shared" si="0"/>
        <v>382.13512171574996</v>
      </c>
      <c r="O48" s="116">
        <f t="shared" si="1"/>
        <v>10.165708465346842</v>
      </c>
      <c r="P48" s="267">
        <f t="shared" si="2"/>
        <v>367.96984867594784</v>
      </c>
      <c r="Q48" s="67">
        <v>2.5</v>
      </c>
      <c r="R48" s="88">
        <f t="shared" si="7"/>
        <v>275.21904343497124</v>
      </c>
      <c r="S48" s="97">
        <f t="shared" si="3"/>
        <v>570.1631039797966</v>
      </c>
      <c r="T48" s="252">
        <f t="shared" si="4"/>
        <v>1154634.1896678223</v>
      </c>
      <c r="U48" s="112">
        <f t="shared" si="5"/>
        <v>262.1133746999726</v>
      </c>
      <c r="V48" s="142">
        <f t="shared" si="6"/>
        <v>6052.901279956022</v>
      </c>
    </row>
    <row r="49" spans="11:22" ht="12.75">
      <c r="K49" s="21">
        <v>42</v>
      </c>
      <c r="L49" s="5">
        <v>2047</v>
      </c>
      <c r="M49" s="93">
        <v>4</v>
      </c>
      <c r="N49" s="88">
        <f t="shared" si="0"/>
        <v>397.42052658437996</v>
      </c>
      <c r="O49" s="116">
        <f t="shared" si="1"/>
        <v>10.572336803960717</v>
      </c>
      <c r="P49" s="267">
        <f t="shared" si="2"/>
        <v>382.68864262298575</v>
      </c>
      <c r="Q49" s="67">
        <v>2.5</v>
      </c>
      <c r="R49" s="88">
        <f t="shared" si="7"/>
        <v>282.0995195208455</v>
      </c>
      <c r="S49" s="97">
        <f t="shared" si="3"/>
        <v>607.7938688424631</v>
      </c>
      <c r="T49" s="252">
        <f t="shared" si="4"/>
        <v>1200819.5572545351</v>
      </c>
      <c r="U49" s="112">
        <f t="shared" si="5"/>
        <v>268.66620906747187</v>
      </c>
      <c r="V49" s="142">
        <f t="shared" si="6"/>
        <v>6452.392764433118</v>
      </c>
    </row>
    <row r="50" spans="11:22" ht="13.5" thickBot="1">
      <c r="K50" s="21">
        <v>43</v>
      </c>
      <c r="L50" s="5">
        <v>2048</v>
      </c>
      <c r="M50" s="93">
        <v>4</v>
      </c>
      <c r="N50" s="88">
        <f t="shared" si="0"/>
        <v>413.3173476477552</v>
      </c>
      <c r="O50" s="116">
        <f t="shared" si="1"/>
        <v>10.995230276119146</v>
      </c>
      <c r="P50" s="267">
        <f t="shared" si="2"/>
        <v>397.9961883279052</v>
      </c>
      <c r="Q50" s="67">
        <v>2.5</v>
      </c>
      <c r="R50" s="88">
        <f t="shared" si="7"/>
        <v>289.1520075088666</v>
      </c>
      <c r="S50" s="97">
        <f t="shared" si="3"/>
        <v>647.9082641860656</v>
      </c>
      <c r="T50" s="252">
        <f t="shared" si="4"/>
        <v>1248852.3395447168</v>
      </c>
      <c r="U50" s="112">
        <f t="shared" si="5"/>
        <v>275.38286429415865</v>
      </c>
      <c r="V50" s="142">
        <f t="shared" si="6"/>
        <v>6878.250686885706</v>
      </c>
    </row>
    <row r="51" spans="4:22" ht="12.75">
      <c r="D51" s="78">
        <v>2.8</v>
      </c>
      <c r="E51" s="79">
        <v>85907423</v>
      </c>
      <c r="F51" s="1">
        <f>E51*D51%</f>
        <v>2405407.8439999996</v>
      </c>
      <c r="K51" s="21">
        <v>44</v>
      </c>
      <c r="L51" s="5">
        <v>2049</v>
      </c>
      <c r="M51" s="93">
        <v>3</v>
      </c>
      <c r="N51" s="88">
        <f t="shared" si="0"/>
        <v>429.8500415536654</v>
      </c>
      <c r="O51" s="116">
        <f t="shared" si="1"/>
        <v>11.435039487163912</v>
      </c>
      <c r="P51" s="267">
        <f t="shared" si="2"/>
        <v>413.91603586102144</v>
      </c>
      <c r="Q51" s="67">
        <v>2.5</v>
      </c>
      <c r="R51" s="88">
        <f t="shared" si="7"/>
        <v>296.3808076965882</v>
      </c>
      <c r="S51" s="97">
        <f t="shared" si="3"/>
        <v>690.6702096223459</v>
      </c>
      <c r="T51" s="252">
        <f t="shared" si="4"/>
        <v>1298806.4331265055</v>
      </c>
      <c r="U51" s="112">
        <f t="shared" si="5"/>
        <v>282.26743590151256</v>
      </c>
      <c r="V51" s="142">
        <f t="shared" si="6"/>
        <v>7332.215232220161</v>
      </c>
    </row>
    <row r="52" spans="4:22" ht="13.5" thickBot="1">
      <c r="D52" s="80">
        <v>1.3</v>
      </c>
      <c r="E52" s="81">
        <v>76510003</v>
      </c>
      <c r="F52" s="1">
        <f aca="true" t="shared" si="8" ref="F52:F79">E52*D52%</f>
        <v>994630.0390000001</v>
      </c>
      <c r="K52" s="114">
        <v>45</v>
      </c>
      <c r="L52" s="108">
        <v>2050</v>
      </c>
      <c r="M52" s="95">
        <v>2</v>
      </c>
      <c r="N52" s="102">
        <f t="shared" si="0"/>
        <v>442.74554280027536</v>
      </c>
      <c r="O52" s="144">
        <f t="shared" si="1"/>
        <v>11.778090671778829</v>
      </c>
      <c r="P52" s="222">
        <f t="shared" si="2"/>
        <v>426.33351693685205</v>
      </c>
      <c r="Q52" s="145">
        <v>2.5</v>
      </c>
      <c r="R52" s="89">
        <f t="shared" si="7"/>
        <v>303.79032788900287</v>
      </c>
      <c r="S52" s="146">
        <f t="shared" si="3"/>
        <v>729.1750738087915</v>
      </c>
      <c r="T52" s="232">
        <f t="shared" si="4"/>
        <v>1337770.6261203005</v>
      </c>
      <c r="U52" s="147">
        <f t="shared" si="5"/>
        <v>289.3241217990503</v>
      </c>
      <c r="V52" s="66">
        <f t="shared" si="6"/>
        <v>7740.986231416432</v>
      </c>
    </row>
    <row r="53" spans="4:22" ht="12.75">
      <c r="D53" s="80">
        <v>0.8</v>
      </c>
      <c r="E53" s="81">
        <v>67915403</v>
      </c>
      <c r="F53" s="1">
        <f t="shared" si="8"/>
        <v>543323.224</v>
      </c>
      <c r="K53" s="241">
        <v>45</v>
      </c>
      <c r="L53" t="s">
        <v>61</v>
      </c>
      <c r="M53" t="s">
        <v>162</v>
      </c>
      <c r="O53" s="242">
        <f>SUM(O7:O52)</f>
        <v>284.75085264219996</v>
      </c>
      <c r="P53" s="245">
        <f>SUM(P7:P52)</f>
        <v>10307.17421360976</v>
      </c>
      <c r="R53" s="86"/>
      <c r="S53" s="245">
        <f>SUM(S7:S52)</f>
        <v>12120.587441313117</v>
      </c>
      <c r="T53" s="254">
        <f>SUM(T7:T52)</f>
        <v>32342366.606175356</v>
      </c>
      <c r="V53" s="247">
        <f>SUM(V7:V52)</f>
        <v>128673.21425264076</v>
      </c>
    </row>
    <row r="54" spans="4:6" ht="12.75">
      <c r="D54" s="80">
        <v>1.6</v>
      </c>
      <c r="E54" s="81">
        <v>63282219</v>
      </c>
      <c r="F54" s="1">
        <f t="shared" si="8"/>
        <v>1012515.5040000001</v>
      </c>
    </row>
    <row r="55" spans="4:21" ht="15.75">
      <c r="D55" s="80">
        <v>1.3</v>
      </c>
      <c r="E55" s="81">
        <v>61489398</v>
      </c>
      <c r="F55" s="1">
        <f t="shared" si="8"/>
        <v>799362.1740000001</v>
      </c>
      <c r="K55" s="233" t="s">
        <v>150</v>
      </c>
      <c r="L55" s="234"/>
      <c r="M55" s="234"/>
      <c r="N55" s="234"/>
      <c r="O55" s="234"/>
      <c r="P55" s="234"/>
      <c r="Q55" s="234"/>
      <c r="R55" s="234"/>
      <c r="S55" s="234"/>
      <c r="T55" s="234"/>
      <c r="U55" s="234"/>
    </row>
    <row r="56" spans="4:21" ht="13.5" thickBot="1">
      <c r="D56" s="80">
        <v>-0.4</v>
      </c>
      <c r="E56" s="81">
        <v>59176265</v>
      </c>
      <c r="F56" s="1">
        <f t="shared" si="8"/>
        <v>-236705.06</v>
      </c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</row>
    <row r="57" spans="4:21" ht="12.75">
      <c r="D57" s="80">
        <v>5</v>
      </c>
      <c r="E57" s="81">
        <v>53798308</v>
      </c>
      <c r="F57" s="1">
        <f t="shared" si="8"/>
        <v>2689915.4000000004</v>
      </c>
      <c r="K57" s="154" t="s">
        <v>117</v>
      </c>
      <c r="L57" s="156"/>
      <c r="M57" s="181" t="s">
        <v>151</v>
      </c>
      <c r="N57" s="155"/>
      <c r="O57" s="216" t="s">
        <v>146</v>
      </c>
      <c r="P57" s="168"/>
      <c r="Q57" s="223"/>
      <c r="R57" s="157" t="s">
        <v>149</v>
      </c>
      <c r="S57" s="224" t="s">
        <v>148</v>
      </c>
      <c r="T57" s="182"/>
      <c r="U57" s="183"/>
    </row>
    <row r="58" spans="4:21" ht="12.75">
      <c r="D58" s="80">
        <v>2.2</v>
      </c>
      <c r="E58" s="81">
        <v>52219412</v>
      </c>
      <c r="F58" s="1">
        <f t="shared" si="8"/>
        <v>1148827.064</v>
      </c>
      <c r="K58" s="158" t="s">
        <v>142</v>
      </c>
      <c r="L58" s="160" t="s">
        <v>116</v>
      </c>
      <c r="M58" s="192" t="s">
        <v>152</v>
      </c>
      <c r="N58" s="159" t="s">
        <v>123</v>
      </c>
      <c r="O58" s="184" t="s">
        <v>123</v>
      </c>
      <c r="P58" s="199" t="s">
        <v>144</v>
      </c>
      <c r="Q58" s="161" t="s">
        <v>58</v>
      </c>
      <c r="R58" s="161" t="s">
        <v>154</v>
      </c>
      <c r="S58" s="225" t="s">
        <v>123</v>
      </c>
      <c r="T58" s="199" t="s">
        <v>138</v>
      </c>
      <c r="U58" s="162" t="s">
        <v>147</v>
      </c>
    </row>
    <row r="59" spans="4:21" ht="13.5" thickBot="1">
      <c r="D59" s="80">
        <v>3.8</v>
      </c>
      <c r="E59" s="81">
        <v>44163098</v>
      </c>
      <c r="F59" s="1">
        <f t="shared" si="8"/>
        <v>1678197.724</v>
      </c>
      <c r="K59" s="163">
        <v>2007</v>
      </c>
      <c r="L59" s="164"/>
      <c r="M59" s="193" t="s">
        <v>153</v>
      </c>
      <c r="N59" s="165" t="s">
        <v>130</v>
      </c>
      <c r="O59" s="185" t="s">
        <v>163</v>
      </c>
      <c r="P59" s="200" t="s">
        <v>125</v>
      </c>
      <c r="Q59" s="166" t="s">
        <v>141</v>
      </c>
      <c r="R59" s="166" t="s">
        <v>135</v>
      </c>
      <c r="S59" s="226" t="s">
        <v>145</v>
      </c>
      <c r="T59" s="206" t="s">
        <v>139</v>
      </c>
      <c r="U59" s="167" t="s">
        <v>167</v>
      </c>
    </row>
    <row r="60" spans="4:21" ht="12.75">
      <c r="D60" s="80">
        <v>6</v>
      </c>
      <c r="E60" s="81">
        <v>43989982</v>
      </c>
      <c r="F60" s="1">
        <f t="shared" si="8"/>
        <v>2639398.92</v>
      </c>
      <c r="K60" s="169">
        <v>-2</v>
      </c>
      <c r="L60" s="170">
        <v>2005</v>
      </c>
      <c r="M60" s="194">
        <v>100</v>
      </c>
      <c r="N60" s="175">
        <v>2.660239242</v>
      </c>
      <c r="O60" s="217">
        <v>96.29312454291001</v>
      </c>
      <c r="P60" s="201">
        <v>100</v>
      </c>
      <c r="Q60" s="246">
        <v>54.2130291176584</v>
      </c>
      <c r="R60" s="186">
        <f aca="true" t="shared" si="9" ref="R60:R66">Q60/N60</f>
        <v>20.37900511417928</v>
      </c>
      <c r="S60" s="227">
        <f>302153.38084697/1000</f>
        <v>302.15338084697004</v>
      </c>
      <c r="T60" s="207">
        <v>95.23809523809524</v>
      </c>
      <c r="U60" s="176">
        <v>575.530249232324</v>
      </c>
    </row>
    <row r="61" spans="4:21" ht="12.75">
      <c r="D61" s="80">
        <v>2.6</v>
      </c>
      <c r="E61" s="81">
        <v>43387513</v>
      </c>
      <c r="F61" s="1">
        <f t="shared" si="8"/>
        <v>1128075.338</v>
      </c>
      <c r="K61" s="98">
        <v>3</v>
      </c>
      <c r="L61" s="107">
        <v>2010</v>
      </c>
      <c r="M61" s="195">
        <v>120.95932126720002</v>
      </c>
      <c r="N61" s="132">
        <v>3.2178073312069064</v>
      </c>
      <c r="O61" s="218">
        <v>116.47550987408354</v>
      </c>
      <c r="P61" s="202">
        <v>113.14082128906244</v>
      </c>
      <c r="Q61" s="135">
        <v>74.19289918982682</v>
      </c>
      <c r="R61" s="187">
        <f t="shared" si="9"/>
        <v>23.05697375672247</v>
      </c>
      <c r="S61" s="228">
        <f>365482.678658393/1000</f>
        <v>365.48267865839296</v>
      </c>
      <c r="T61" s="214">
        <v>107.75316313244042</v>
      </c>
      <c r="U61" s="143">
        <v>787.638293911182</v>
      </c>
    </row>
    <row r="62" spans="4:21" ht="13.5" thickBot="1">
      <c r="D62" s="80">
        <v>8.4</v>
      </c>
      <c r="E62" s="81">
        <v>41940059</v>
      </c>
      <c r="F62" s="1">
        <f t="shared" si="8"/>
        <v>3522964.9560000002</v>
      </c>
      <c r="K62" s="171">
        <v>8</v>
      </c>
      <c r="L62" s="172">
        <v>2015</v>
      </c>
      <c r="M62" s="196">
        <v>142.96103837637173</v>
      </c>
      <c r="N62" s="173">
        <v>3.8031056436589203</v>
      </c>
      <c r="O62" s="219">
        <v>137.661650731597</v>
      </c>
      <c r="P62" s="203">
        <v>128.00845441963565</v>
      </c>
      <c r="Q62" s="177">
        <v>99.211044455132</v>
      </c>
      <c r="R62" s="188">
        <f t="shared" si="9"/>
        <v>26.086849472759397</v>
      </c>
      <c r="S62" s="229">
        <f>431961.610748141/1000</f>
        <v>431.961610748141</v>
      </c>
      <c r="T62" s="209">
        <v>121.91281373298634</v>
      </c>
      <c r="U62" s="174">
        <v>1053.2331078187783</v>
      </c>
    </row>
    <row r="63" spans="4:21" ht="12.75">
      <c r="D63" s="80">
        <v>8.9</v>
      </c>
      <c r="E63" s="81">
        <v>41885104</v>
      </c>
      <c r="F63" s="1">
        <f t="shared" si="8"/>
        <v>3727774.2560000005</v>
      </c>
      <c r="K63" s="100">
        <v>13</v>
      </c>
      <c r="L63" s="109">
        <v>2020</v>
      </c>
      <c r="M63" s="195">
        <v>165.69978341991742</v>
      </c>
      <c r="N63" s="178">
        <v>4.408010662445653</v>
      </c>
      <c r="O63" s="220">
        <v>159.55749881587323</v>
      </c>
      <c r="P63" s="202">
        <v>144.82981664981094</v>
      </c>
      <c r="Q63" s="180">
        <v>130.10188697114828</v>
      </c>
      <c r="R63" s="189">
        <f t="shared" si="9"/>
        <v>29.514875741921443</v>
      </c>
      <c r="S63" s="230">
        <f>500667.497659388/1000</f>
        <v>500.667497659388</v>
      </c>
      <c r="T63" s="208">
        <v>137.93315871410564</v>
      </c>
      <c r="U63" s="179">
        <v>1381.1729883529285</v>
      </c>
    </row>
    <row r="64" spans="4:21" ht="13.5" thickBot="1">
      <c r="D64" s="80">
        <v>4.3</v>
      </c>
      <c r="E64" s="81">
        <v>41213754</v>
      </c>
      <c r="F64" s="1">
        <f t="shared" si="8"/>
        <v>1772191.4219999998</v>
      </c>
      <c r="K64" s="148">
        <v>18</v>
      </c>
      <c r="L64" s="149">
        <v>2025</v>
      </c>
      <c r="M64" s="197">
        <v>199.6606693246546</v>
      </c>
      <c r="N64" s="150">
        <v>5.311451476214318</v>
      </c>
      <c r="O64" s="221">
        <v>192.25949697599737</v>
      </c>
      <c r="P64" s="204">
        <v>163.8616440290394</v>
      </c>
      <c r="Q64" s="151">
        <v>177.36727934386587</v>
      </c>
      <c r="R64" s="190">
        <f t="shared" si="9"/>
        <v>33.39337281685619</v>
      </c>
      <c r="S64" s="231">
        <f>603281.462586133/1000</f>
        <v>603.281462586133</v>
      </c>
      <c r="T64" s="210">
        <v>156.05870859908515</v>
      </c>
      <c r="U64" s="152">
        <v>1882.9465194591844</v>
      </c>
    </row>
    <row r="65" spans="4:21" ht="12.75">
      <c r="D65" s="80">
        <v>17.5</v>
      </c>
      <c r="E65" s="81">
        <v>41004008</v>
      </c>
      <c r="F65" s="1">
        <f t="shared" si="8"/>
        <v>7175701.399999999</v>
      </c>
      <c r="K65" s="100">
        <v>28</v>
      </c>
      <c r="L65" s="109">
        <v>2035</v>
      </c>
      <c r="M65" s="195">
        <v>270.85575598856934</v>
      </c>
      <c r="N65" s="178">
        <v>7.205411110023686</v>
      </c>
      <c r="O65" s="220">
        <v>260.8154704457135</v>
      </c>
      <c r="P65" s="202">
        <v>209.75675790817857</v>
      </c>
      <c r="Q65" s="180">
        <v>308.00495618552975</v>
      </c>
      <c r="R65" s="189">
        <f t="shared" si="9"/>
        <v>42.74634042144436</v>
      </c>
      <c r="S65" s="230">
        <f>818399.823938082/1000</f>
        <v>818.399823938082</v>
      </c>
      <c r="T65" s="208">
        <v>199.76834086493196</v>
      </c>
      <c r="U65" s="179">
        <v>3269.80749984526</v>
      </c>
    </row>
    <row r="66" spans="4:21" ht="13.5" thickBot="1">
      <c r="D66" s="80">
        <v>9.7</v>
      </c>
      <c r="E66" s="81">
        <v>40269847</v>
      </c>
      <c r="F66" s="1">
        <f t="shared" si="8"/>
        <v>3906175.1589999995</v>
      </c>
      <c r="K66" s="114">
        <v>43</v>
      </c>
      <c r="L66" s="108">
        <v>2050</v>
      </c>
      <c r="M66" s="198">
        <v>442.74554280027536</v>
      </c>
      <c r="N66" s="144">
        <v>11.778090671778829</v>
      </c>
      <c r="O66" s="222">
        <v>426.33351693685205</v>
      </c>
      <c r="P66" s="205">
        <v>303.79032788900287</v>
      </c>
      <c r="Q66" s="146">
        <v>729.1750738087915</v>
      </c>
      <c r="R66" s="191">
        <f t="shared" si="9"/>
        <v>61.909446456881895</v>
      </c>
      <c r="S66" s="232">
        <f>1337770.6261203/1000</f>
        <v>1337.7706261203</v>
      </c>
      <c r="T66" s="215">
        <v>289.3241217990503</v>
      </c>
      <c r="U66" s="66">
        <v>7740.986231416432</v>
      </c>
    </row>
    <row r="67" spans="4:21" ht="13.5" thickBot="1">
      <c r="D67" s="80">
        <v>8.7</v>
      </c>
      <c r="E67" s="81">
        <v>39684640</v>
      </c>
      <c r="F67" s="1">
        <f t="shared" si="8"/>
        <v>3452563.6799999997</v>
      </c>
      <c r="K67" s="255" t="s">
        <v>166</v>
      </c>
      <c r="L67" s="256"/>
      <c r="M67" s="256"/>
      <c r="N67" s="262">
        <f>O53</f>
        <v>284.75085264219996</v>
      </c>
      <c r="O67" s="257">
        <f>P53</f>
        <v>10307.17421360976</v>
      </c>
      <c r="P67" s="256"/>
      <c r="Q67" s="257">
        <f>S53</f>
        <v>12120.587441313117</v>
      </c>
      <c r="R67" s="261"/>
      <c r="S67" s="259">
        <f>T53/1000</f>
        <v>32342.366606175354</v>
      </c>
      <c r="T67" s="258"/>
      <c r="U67" s="260">
        <f>V53</f>
        <v>128673.21425264076</v>
      </c>
    </row>
    <row r="68" spans="4:21" ht="12.75">
      <c r="D68" s="80">
        <v>2.4</v>
      </c>
      <c r="E68" s="81">
        <v>37604373</v>
      </c>
      <c r="F68" s="1">
        <f t="shared" si="8"/>
        <v>902504.952</v>
      </c>
      <c r="K68" s="234" t="s">
        <v>164</v>
      </c>
      <c r="L68" s="234"/>
      <c r="M68" s="234"/>
      <c r="N68" s="234"/>
      <c r="O68" s="234"/>
      <c r="P68" s="234"/>
      <c r="Q68" s="234"/>
      <c r="R68" s="234"/>
      <c r="S68" s="234"/>
      <c r="T68" s="234"/>
      <c r="U68" s="234"/>
    </row>
    <row r="69" spans="4:6" ht="12.75">
      <c r="D69" s="80">
        <v>3.2</v>
      </c>
      <c r="E69" s="81">
        <v>36389294</v>
      </c>
      <c r="F69" s="1">
        <f t="shared" si="8"/>
        <v>1164457.408</v>
      </c>
    </row>
    <row r="70" spans="4:6" ht="12.75">
      <c r="D70" s="80">
        <v>8.4</v>
      </c>
      <c r="E70" s="81">
        <v>34128048</v>
      </c>
      <c r="F70" s="1">
        <f t="shared" si="8"/>
        <v>2866756.032</v>
      </c>
    </row>
    <row r="71" spans="4:6" ht="12.75">
      <c r="D71" s="80">
        <v>3.3</v>
      </c>
      <c r="E71" s="81">
        <v>33999990</v>
      </c>
      <c r="F71" s="1">
        <f t="shared" si="8"/>
        <v>1121999.6700000002</v>
      </c>
    </row>
    <row r="72" spans="4:6" ht="12.75">
      <c r="D72" s="80">
        <v>2</v>
      </c>
      <c r="E72" s="81">
        <v>32802363</v>
      </c>
      <c r="F72" s="1">
        <f t="shared" si="8"/>
        <v>656047.26</v>
      </c>
    </row>
    <row r="73" spans="4:6" ht="12.75">
      <c r="D73" s="80">
        <v>4.2</v>
      </c>
      <c r="E73" s="81">
        <v>32784330</v>
      </c>
      <c r="F73" s="1">
        <f t="shared" si="8"/>
        <v>1376941.86</v>
      </c>
    </row>
    <row r="74" spans="4:6" ht="12.75">
      <c r="D74" s="80">
        <v>6.8</v>
      </c>
      <c r="E74" s="81">
        <v>32430856</v>
      </c>
      <c r="F74" s="1">
        <f t="shared" si="8"/>
        <v>2205298.208</v>
      </c>
    </row>
    <row r="75" spans="4:6" ht="12.75">
      <c r="D75" s="80">
        <v>10.5</v>
      </c>
      <c r="E75" s="81">
        <v>31495385</v>
      </c>
      <c r="F75" s="1">
        <f t="shared" si="8"/>
        <v>3307015.425</v>
      </c>
    </row>
    <row r="76" spans="4:6" ht="12.75">
      <c r="D76" s="80">
        <v>1.3</v>
      </c>
      <c r="E76" s="81">
        <v>31451274</v>
      </c>
      <c r="F76" s="1">
        <f t="shared" si="8"/>
        <v>408866.56200000003</v>
      </c>
    </row>
    <row r="77" spans="4:6" ht="12.75">
      <c r="D77" s="80">
        <v>2.8</v>
      </c>
      <c r="E77" s="81">
        <v>31008453</v>
      </c>
      <c r="F77" s="1">
        <f t="shared" si="8"/>
        <v>868236.6839999999</v>
      </c>
    </row>
    <row r="78" spans="4:6" ht="12.75">
      <c r="D78" s="80">
        <v>4.5</v>
      </c>
      <c r="E78" s="81">
        <v>29914750</v>
      </c>
      <c r="F78" s="1">
        <f t="shared" si="8"/>
        <v>1346163.75</v>
      </c>
    </row>
    <row r="79" spans="4:6" ht="13.5" thickBot="1">
      <c r="D79" s="82">
        <v>1.7</v>
      </c>
      <c r="E79" s="83">
        <v>29289026</v>
      </c>
      <c r="F79" s="1">
        <f t="shared" si="8"/>
        <v>497913.44200000004</v>
      </c>
    </row>
    <row r="80" spans="4:6" ht="13.5" thickBot="1">
      <c r="D80" s="84">
        <f>F80/E80%</f>
        <v>4.266210605429235</v>
      </c>
      <c r="E80" s="48">
        <f>SUM(E50:E79)</f>
        <v>1291134578</v>
      </c>
      <c r="F80" s="1">
        <f>SUM(F51:F79)</f>
        <v>55082520.29699999</v>
      </c>
    </row>
  </sheetData>
  <mergeCells count="6">
    <mergeCell ref="B4:B5"/>
    <mergeCell ref="C4:C5"/>
    <mergeCell ref="D4:D5"/>
    <mergeCell ref="B44:B45"/>
    <mergeCell ref="C44:C45"/>
    <mergeCell ref="D44:D45"/>
  </mergeCells>
  <hyperlinks>
    <hyperlink ref="B1" r:id="rId1" display="http://www.aci.aero/cda/aci/display/main/aci_content.jsp?zn=aci&amp;cp=1-5-54-55-2812_9_2__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J39" sqref="J39"/>
    </sheetView>
  </sheetViews>
  <sheetFormatPr defaultColWidth="9.140625" defaultRowHeight="12.75"/>
  <cols>
    <col min="1" max="1" width="15.00390625" style="0" customWidth="1"/>
    <col min="8" max="8" width="14.8515625" style="0" customWidth="1"/>
    <col min="9" max="9" width="12.421875" style="0" bestFit="1" customWidth="1"/>
    <col min="12" max="12" width="17.8515625" style="0" customWidth="1"/>
  </cols>
  <sheetData>
    <row r="2" ht="23.25">
      <c r="A2" s="33" t="s">
        <v>75</v>
      </c>
    </row>
    <row r="4" spans="1:2" ht="12.75">
      <c r="A4" s="34" t="s">
        <v>74</v>
      </c>
      <c r="B4" s="3" t="s">
        <v>73</v>
      </c>
    </row>
    <row r="5" ht="12.75">
      <c r="C5" s="34" t="s">
        <v>83</v>
      </c>
    </row>
    <row r="6" ht="12.75">
      <c r="D6" s="35" t="s">
        <v>76</v>
      </c>
    </row>
    <row r="7" ht="12.75">
      <c r="D7" s="36" t="s">
        <v>77</v>
      </c>
    </row>
    <row r="8" ht="12.75">
      <c r="D8" s="35" t="s">
        <v>78</v>
      </c>
    </row>
    <row r="9" spans="1:4" ht="15.75">
      <c r="A9" s="35"/>
      <c r="D9" s="35" t="s">
        <v>100</v>
      </c>
    </row>
    <row r="10" ht="12.75">
      <c r="D10" s="35" t="s">
        <v>79</v>
      </c>
    </row>
    <row r="11" ht="12.75">
      <c r="D11" s="35" t="s">
        <v>80</v>
      </c>
    </row>
    <row r="12" ht="12.75">
      <c r="D12" s="35" t="s">
        <v>81</v>
      </c>
    </row>
    <row r="13" ht="15.75">
      <c r="D13" s="35" t="s">
        <v>82</v>
      </c>
    </row>
    <row r="14" ht="12.75">
      <c r="B14" s="3" t="s">
        <v>93</v>
      </c>
    </row>
    <row r="15" spans="2:3" ht="12.75">
      <c r="B15" s="3"/>
      <c r="C15" s="34" t="s">
        <v>94</v>
      </c>
    </row>
    <row r="16" spans="2:9" ht="12.75">
      <c r="B16" s="3"/>
      <c r="G16" t="s">
        <v>96</v>
      </c>
      <c r="I16" t="s">
        <v>98</v>
      </c>
    </row>
    <row r="17" spans="2:11" ht="12.75">
      <c r="B17" s="3"/>
      <c r="D17" s="36" t="s">
        <v>99</v>
      </c>
      <c r="E17" s="40"/>
      <c r="F17" s="40"/>
      <c r="G17" s="42">
        <v>43.5</v>
      </c>
      <c r="H17" s="40" t="s">
        <v>95</v>
      </c>
      <c r="I17" s="41">
        <v>71.5</v>
      </c>
      <c r="J17" s="41" t="s">
        <v>97</v>
      </c>
      <c r="K17" s="40"/>
    </row>
    <row r="18" spans="2:11" ht="12.75">
      <c r="B18" s="3"/>
      <c r="D18" s="36"/>
      <c r="E18" s="40"/>
      <c r="F18" s="40"/>
      <c r="G18" s="42"/>
      <c r="H18" s="40"/>
      <c r="I18" s="41"/>
      <c r="J18" s="41"/>
      <c r="K18" s="40"/>
    </row>
    <row r="19" spans="2:11" ht="12.75">
      <c r="B19" s="52" t="s">
        <v>105</v>
      </c>
      <c r="E19" s="40"/>
      <c r="F19" s="40"/>
      <c r="G19" s="42"/>
      <c r="H19" s="40"/>
      <c r="I19" s="41"/>
      <c r="J19" s="41"/>
      <c r="K19" s="40"/>
    </row>
    <row r="20" spans="2:11" ht="12.75">
      <c r="B20" s="3" t="s">
        <v>108</v>
      </c>
      <c r="E20" s="40"/>
      <c r="F20" s="40"/>
      <c r="G20" s="42"/>
      <c r="H20" s="40"/>
      <c r="I20" s="41"/>
      <c r="J20" s="41"/>
      <c r="K20" s="40"/>
    </row>
    <row r="21" spans="2:11" ht="12.75">
      <c r="B21" s="3"/>
      <c r="D21" t="s">
        <v>106</v>
      </c>
      <c r="E21" s="40"/>
      <c r="F21" s="40"/>
      <c r="G21" s="42"/>
      <c r="H21" s="40"/>
      <c r="I21" s="41"/>
      <c r="J21" s="41"/>
      <c r="K21" s="40"/>
    </row>
    <row r="22" spans="2:4" ht="12.75" customHeight="1">
      <c r="B22" s="3"/>
      <c r="D22" t="s">
        <v>107</v>
      </c>
    </row>
    <row r="23" ht="12.75" customHeight="1">
      <c r="B23" s="3"/>
    </row>
    <row r="24" ht="12.75" customHeight="1">
      <c r="B24" s="3"/>
    </row>
    <row r="25" ht="18">
      <c r="B25" s="43" t="s">
        <v>84</v>
      </c>
    </row>
    <row r="26" spans="4:10" ht="12.75">
      <c r="D26" s="36" t="s">
        <v>85</v>
      </c>
      <c r="I26">
        <v>0.95</v>
      </c>
      <c r="J26" t="s">
        <v>86</v>
      </c>
    </row>
    <row r="27" spans="4:11" ht="12.75">
      <c r="D27" s="34" t="s">
        <v>87</v>
      </c>
      <c r="I27">
        <v>0.9</v>
      </c>
      <c r="K27" t="s">
        <v>89</v>
      </c>
    </row>
    <row r="28" spans="4:10" ht="14.25">
      <c r="D28" s="34" t="s">
        <v>90</v>
      </c>
      <c r="I28">
        <v>3.67</v>
      </c>
      <c r="J28" t="s">
        <v>88</v>
      </c>
    </row>
    <row r="29" spans="4:10" ht="12.75">
      <c r="D29" s="34" t="s">
        <v>91</v>
      </c>
      <c r="G29" s="16"/>
      <c r="I29" s="212">
        <f>1*I26*I27*I28</f>
        <v>3.13785</v>
      </c>
      <c r="J29" t="s">
        <v>92</v>
      </c>
    </row>
    <row r="30" spans="4:10" ht="12.75">
      <c r="D30" s="34" t="s">
        <v>101</v>
      </c>
      <c r="I30">
        <f>I29/1000</f>
        <v>0.0031378499999999998</v>
      </c>
      <c r="J30" t="s">
        <v>102</v>
      </c>
    </row>
    <row r="31" spans="4:10" ht="12.75">
      <c r="D31" s="34" t="s">
        <v>159</v>
      </c>
      <c r="I31">
        <f>I30/1000</f>
        <v>3.13785E-06</v>
      </c>
      <c r="J31" t="s">
        <v>104</v>
      </c>
    </row>
    <row r="32" spans="4:10" ht="12.75">
      <c r="D32" s="34" t="s">
        <v>109</v>
      </c>
      <c r="I32">
        <v>20</v>
      </c>
      <c r="J32" t="s">
        <v>110</v>
      </c>
    </row>
    <row r="33" ht="12.75">
      <c r="D33" s="34" t="s">
        <v>111</v>
      </c>
    </row>
    <row r="35" spans="4:13" ht="12.75">
      <c r="D35" s="34" t="s">
        <v>155</v>
      </c>
      <c r="I35">
        <v>4000</v>
      </c>
      <c r="J35" t="s">
        <v>156</v>
      </c>
      <c r="L35" s="211">
        <v>3109605351.0887413</v>
      </c>
      <c r="M35" t="s">
        <v>156</v>
      </c>
    </row>
    <row r="36" spans="4:13" ht="12.75">
      <c r="D36" s="34" t="s">
        <v>157</v>
      </c>
      <c r="I36">
        <f>I35*I29</f>
        <v>12551.4</v>
      </c>
      <c r="J36" t="s">
        <v>158</v>
      </c>
      <c r="L36" s="7">
        <f>L35*I29</f>
        <v>9757475150.913807</v>
      </c>
      <c r="M36" t="s">
        <v>158</v>
      </c>
    </row>
    <row r="37" spans="4:10" ht="12.75">
      <c r="D37" t="s">
        <v>160</v>
      </c>
      <c r="I37">
        <v>97</v>
      </c>
      <c r="J37" t="s">
        <v>160</v>
      </c>
    </row>
    <row r="38" spans="4:10" ht="12.75">
      <c r="D38" t="s">
        <v>157</v>
      </c>
      <c r="I38" s="213">
        <f>I36/I37</f>
        <v>129.3958762886598</v>
      </c>
      <c r="J38" t="s">
        <v>161</v>
      </c>
    </row>
    <row r="39" ht="12.75">
      <c r="I39" s="213"/>
    </row>
  </sheetData>
  <hyperlinks>
    <hyperlink ref="B4" r:id="rId1" display="http://64.233.183.104/search?q=cache:L1C49gmYL2MJ:www.ombudsman.nl/documenten/20020390%25202002.04621.doc+soortelijk+gewicht+Kerosine&amp;hl=nl&amp;ct=clnk&amp;cd=3"/>
    <hyperlink ref="B14" r:id="rId2" display="http://64.233.183.104/search?q=cache:czzLxV71wiwJ:https://www.senter.nl/mmfiles/Brandstoffenlijst_2006_tcm24-217391.pdf+kerosine+co2+emission&amp;hl=nl&amp;ct=clnk&amp;cd=3"/>
    <hyperlink ref="B20" r:id="rId3" display="http://www.starrportcorp.com/monitor.html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</dc:creator>
  <cp:keywords/>
  <dc:description/>
  <cp:lastModifiedBy>Emile</cp:lastModifiedBy>
  <dcterms:created xsi:type="dcterms:W3CDTF">2007-07-09T16:38:46Z</dcterms:created>
  <dcterms:modified xsi:type="dcterms:W3CDTF">2008-09-07T12:04:16Z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